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ianelanpher/Documents/2021 session/end of session reports/"/>
    </mc:Choice>
  </mc:AlternateContent>
  <xr:revisionPtr revIDLastSave="0" documentId="8_{58AC8EC7-2162-9348-B636-1E03256A4417}" xr6:coauthVersionLast="47" xr6:coauthVersionMax="47" xr10:uidLastSave="{00000000-0000-0000-0000-000000000000}"/>
  <bookViews>
    <workbookView xWindow="2740" yWindow="500" windowWidth="22420" windowHeight="12760" activeTab="2" xr2:uid="{EA3C0D86-DF31-4B6A-B2AB-B9D755FD6B02}"/>
  </bookViews>
  <sheets>
    <sheet name="FY22 Transportation Budget" sheetId="2" r:id="rId1"/>
    <sheet name="Summary" sheetId="8" r:id="rId2"/>
    <sheet name="FY22 VS. PRIOR YRS" sheetId="4" r:id="rId3"/>
  </sheets>
  <externalReferences>
    <externalReference r:id="rId4"/>
    <externalReference r:id="rId5"/>
    <externalReference r:id="rId6"/>
  </externalReferences>
  <definedNames>
    <definedName name="_xlnm.Print_Area" localSheetId="0">'FY22 Transportation Budget'!$C$1:$S$95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1" i="2" l="1"/>
  <c r="C47" i="8" l="1"/>
  <c r="E33" i="8" l="1"/>
  <c r="E47" i="8" l="1"/>
  <c r="E48" i="8"/>
  <c r="E49" i="8"/>
  <c r="E50" i="8"/>
  <c r="E51" i="8"/>
  <c r="E52" i="8"/>
  <c r="E53" i="8"/>
  <c r="E54" i="8"/>
  <c r="E55" i="8"/>
  <c r="C20" i="8"/>
  <c r="D45" i="8"/>
  <c r="F52" i="4"/>
  <c r="F54" i="4"/>
  <c r="F56" i="4"/>
  <c r="F58" i="4"/>
  <c r="F60" i="4"/>
  <c r="F62" i="4"/>
  <c r="F64" i="4"/>
  <c r="F66" i="4"/>
  <c r="F50" i="4"/>
  <c r="F38" i="4"/>
  <c r="F40" i="4"/>
  <c r="F42" i="4"/>
  <c r="F44" i="4"/>
  <c r="D18" i="8"/>
  <c r="E18" i="8" s="1"/>
  <c r="A4" i="8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l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E20" i="8"/>
  <c r="A46" i="8" l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E93" i="2" l="1"/>
  <c r="F93" i="2"/>
  <c r="G93" i="2"/>
  <c r="D93" i="2"/>
  <c r="E30" i="2"/>
  <c r="F35" i="4" s="1"/>
  <c r="D23" i="8" s="1"/>
  <c r="E38" i="2"/>
  <c r="F43" i="4" s="1"/>
  <c r="D57" i="8" s="1"/>
  <c r="E40" i="2"/>
  <c r="F45" i="4" s="1"/>
  <c r="D11" i="8" s="1"/>
  <c r="I44" i="2"/>
  <c r="G44" i="2"/>
  <c r="F29" i="4" l="1"/>
  <c r="D26" i="2"/>
  <c r="D28" i="2"/>
  <c r="D30" i="2"/>
  <c r="D32" i="2"/>
  <c r="D34" i="2"/>
  <c r="D36" i="2"/>
  <c r="D38" i="2"/>
  <c r="D40" i="2"/>
  <c r="D44" i="2"/>
  <c r="D46" i="2"/>
  <c r="E46" i="2"/>
  <c r="F51" i="4" s="1"/>
  <c r="D36" i="8" s="1"/>
  <c r="D48" i="2"/>
  <c r="E48" i="2"/>
  <c r="F53" i="4" s="1"/>
  <c r="D35" i="8" s="1"/>
  <c r="D50" i="2"/>
  <c r="E50" i="2"/>
  <c r="F55" i="4" s="1"/>
  <c r="D39" i="8" s="1"/>
  <c r="E66" i="2" l="1"/>
  <c r="F71" i="4" s="1"/>
  <c r="D6" i="8" s="1"/>
  <c r="E62" i="2"/>
  <c r="F67" i="4" s="1"/>
  <c r="D41" i="8" s="1"/>
  <c r="E52" i="2"/>
  <c r="F57" i="4" s="1"/>
  <c r="D40" i="8" s="1"/>
  <c r="E54" i="2"/>
  <c r="F59" i="4" s="1"/>
  <c r="D32" i="8" s="1"/>
  <c r="E56" i="2"/>
  <c r="F61" i="4" s="1"/>
  <c r="D37" i="8" s="1"/>
  <c r="E58" i="2"/>
  <c r="F63" i="4" s="1"/>
  <c r="D42" i="8" s="1"/>
  <c r="E60" i="2"/>
  <c r="F65" i="4" s="1"/>
  <c r="D43" i="8" s="1"/>
  <c r="F22" i="4" l="1"/>
  <c r="B9" i="4" l="1"/>
  <c r="D9" i="4"/>
  <c r="E9" i="4"/>
  <c r="B10" i="4"/>
  <c r="E10" i="4"/>
  <c r="B11" i="4"/>
  <c r="D11" i="4"/>
  <c r="E11" i="4"/>
  <c r="B12" i="4"/>
  <c r="E12" i="4"/>
  <c r="B14" i="4"/>
  <c r="D14" i="4"/>
  <c r="E14" i="4"/>
  <c r="B15" i="4"/>
  <c r="D15" i="4"/>
  <c r="C27" i="8" s="1"/>
  <c r="E15" i="4"/>
  <c r="B16" i="4"/>
  <c r="D16" i="4"/>
  <c r="C26" i="8" s="1"/>
  <c r="E16" i="4"/>
  <c r="B17" i="4"/>
  <c r="D17" i="4"/>
  <c r="E17" i="4"/>
  <c r="B18" i="4"/>
  <c r="D18" i="4"/>
  <c r="E18" i="4"/>
  <c r="B19" i="4"/>
  <c r="D19" i="4"/>
  <c r="E19" i="4"/>
  <c r="B20" i="4"/>
  <c r="D20" i="4"/>
  <c r="E20" i="4"/>
  <c r="B21" i="4"/>
  <c r="D21" i="4"/>
  <c r="E21" i="4"/>
  <c r="B22" i="4"/>
  <c r="D22" i="4"/>
  <c r="E22" i="4"/>
  <c r="B23" i="4"/>
  <c r="D23" i="4"/>
  <c r="C29" i="8" s="1"/>
  <c r="E23" i="4"/>
  <c r="E24" i="4"/>
  <c r="C25" i="4"/>
  <c r="D25" i="4"/>
  <c r="E25" i="4"/>
  <c r="D27" i="4"/>
  <c r="E27" i="4"/>
  <c r="D28" i="4"/>
  <c r="E28" i="4"/>
  <c r="D29" i="4"/>
  <c r="E29" i="4"/>
  <c r="B31" i="4"/>
  <c r="D31" i="4"/>
  <c r="C10" i="8" s="1"/>
  <c r="E31" i="4"/>
  <c r="B32" i="4"/>
  <c r="D32" i="4"/>
  <c r="E32" i="4"/>
  <c r="B33" i="4"/>
  <c r="D33" i="4"/>
  <c r="C5" i="8" s="1"/>
  <c r="E33" i="4"/>
  <c r="B34" i="4"/>
  <c r="D34" i="4"/>
  <c r="E34" i="4"/>
  <c r="B35" i="4"/>
  <c r="D35" i="4"/>
  <c r="E35" i="4"/>
  <c r="B36" i="4"/>
  <c r="D36" i="4"/>
  <c r="E36" i="4"/>
  <c r="B37" i="4"/>
  <c r="D37" i="4"/>
  <c r="C14" i="8" s="1"/>
  <c r="E37" i="4"/>
  <c r="B38" i="4"/>
  <c r="D38" i="4"/>
  <c r="E38" i="4"/>
  <c r="B39" i="4"/>
  <c r="D39" i="4"/>
  <c r="C15" i="8" s="1"/>
  <c r="E39" i="4"/>
  <c r="B40" i="4"/>
  <c r="D40" i="4"/>
  <c r="E40" i="4"/>
  <c r="B41" i="4"/>
  <c r="D41" i="4"/>
  <c r="C19" i="8" s="1"/>
  <c r="E41" i="4"/>
  <c r="B42" i="4"/>
  <c r="D42" i="4"/>
  <c r="E42" i="4"/>
  <c r="B43" i="4"/>
  <c r="D43" i="4"/>
  <c r="E43" i="4"/>
  <c r="B44" i="4"/>
  <c r="D44" i="4"/>
  <c r="E44" i="4"/>
  <c r="B45" i="4"/>
  <c r="D45" i="4"/>
  <c r="E45" i="4"/>
  <c r="C47" i="4"/>
  <c r="B49" i="4"/>
  <c r="D49" i="4"/>
  <c r="E49" i="4"/>
  <c r="B50" i="4"/>
  <c r="D50" i="4"/>
  <c r="E50" i="4"/>
  <c r="B51" i="4"/>
  <c r="D51" i="4"/>
  <c r="E51" i="4"/>
  <c r="B52" i="4"/>
  <c r="D52" i="4"/>
  <c r="E52" i="4"/>
  <c r="B53" i="4"/>
  <c r="D53" i="4"/>
  <c r="E53" i="4"/>
  <c r="B54" i="4"/>
  <c r="D54" i="4"/>
  <c r="E54" i="4"/>
  <c r="B55" i="4"/>
  <c r="D55" i="4"/>
  <c r="E55" i="4"/>
  <c r="B56" i="4"/>
  <c r="D56" i="4"/>
  <c r="E56" i="4"/>
  <c r="B57" i="4"/>
  <c r="D57" i="4"/>
  <c r="E57" i="4"/>
  <c r="B58" i="4"/>
  <c r="D58" i="4"/>
  <c r="E58" i="4"/>
  <c r="B59" i="4"/>
  <c r="D59" i="4"/>
  <c r="C32" i="8" s="1"/>
  <c r="E59" i="4"/>
  <c r="B60" i="4"/>
  <c r="D60" i="4"/>
  <c r="E60" i="4"/>
  <c r="B61" i="4"/>
  <c r="D61" i="4"/>
  <c r="E61" i="4"/>
  <c r="B62" i="4"/>
  <c r="D62" i="4"/>
  <c r="E62" i="4"/>
  <c r="B63" i="4"/>
  <c r="D63" i="4"/>
  <c r="E63" i="4"/>
  <c r="B64" i="4"/>
  <c r="D64" i="4"/>
  <c r="E64" i="4"/>
  <c r="B65" i="4"/>
  <c r="D65" i="4"/>
  <c r="E65" i="4"/>
  <c r="B66" i="4"/>
  <c r="D66" i="4"/>
  <c r="E66" i="4"/>
  <c r="B67" i="4"/>
  <c r="D67" i="4"/>
  <c r="E67" i="4"/>
  <c r="B68" i="4"/>
  <c r="C69" i="4"/>
  <c r="B71" i="4"/>
  <c r="D71" i="4"/>
  <c r="C6" i="8" s="1"/>
  <c r="E6" i="8" s="1"/>
  <c r="E71" i="4"/>
  <c r="D80" i="4"/>
  <c r="D7" i="2"/>
  <c r="G7" i="2"/>
  <c r="I7" i="2"/>
  <c r="D9" i="2"/>
  <c r="G9" i="2"/>
  <c r="I9" i="2"/>
  <c r="D12" i="2"/>
  <c r="G12" i="2"/>
  <c r="I12" i="2"/>
  <c r="D13" i="2"/>
  <c r="G13" i="2"/>
  <c r="I13" i="2"/>
  <c r="D14" i="2"/>
  <c r="D15" i="2"/>
  <c r="G15" i="2"/>
  <c r="I15" i="2"/>
  <c r="D16" i="2"/>
  <c r="G16" i="2"/>
  <c r="I16" i="2"/>
  <c r="D17" i="2"/>
  <c r="G17" i="2"/>
  <c r="I17" i="2"/>
  <c r="D18" i="2"/>
  <c r="G18" i="2"/>
  <c r="I18" i="2"/>
  <c r="D19" i="2"/>
  <c r="I19" i="2"/>
  <c r="E19" i="2" s="1"/>
  <c r="D21" i="2"/>
  <c r="G21" i="2"/>
  <c r="I21" i="2"/>
  <c r="F23" i="2"/>
  <c r="F42" i="2" s="1"/>
  <c r="H23" i="2"/>
  <c r="H42" i="2" s="1"/>
  <c r="J23" i="2"/>
  <c r="J42" i="2" s="1"/>
  <c r="M42" i="2"/>
  <c r="N23" i="2"/>
  <c r="N42" i="2" s="1"/>
  <c r="O42" i="2"/>
  <c r="I26" i="2"/>
  <c r="E26" i="2" s="1"/>
  <c r="F31" i="4" s="1"/>
  <c r="D10" i="8" s="1"/>
  <c r="D12" i="8" s="1"/>
  <c r="I28" i="2"/>
  <c r="E28" i="2" s="1"/>
  <c r="F33" i="4" s="1"/>
  <c r="D5" i="8" s="1"/>
  <c r="I32" i="2"/>
  <c r="E32" i="2" s="1"/>
  <c r="F37" i="4" s="1"/>
  <c r="D14" i="8" s="1"/>
  <c r="I34" i="2"/>
  <c r="E34" i="2" s="1"/>
  <c r="F39" i="4" s="1"/>
  <c r="D15" i="8" s="1"/>
  <c r="I36" i="2"/>
  <c r="L42" i="2"/>
  <c r="P42" i="2"/>
  <c r="P69" i="2" s="1"/>
  <c r="K79" i="2" s="1"/>
  <c r="I64" i="2"/>
  <c r="D52" i="2"/>
  <c r="D54" i="2"/>
  <c r="D56" i="2"/>
  <c r="D58" i="2"/>
  <c r="H60" i="2"/>
  <c r="D62" i="2"/>
  <c r="F64" i="2"/>
  <c r="J64" i="2"/>
  <c r="L64" i="2"/>
  <c r="M64" i="2"/>
  <c r="N64" i="2"/>
  <c r="O64" i="2"/>
  <c r="D66" i="2"/>
  <c r="K69" i="2"/>
  <c r="K78" i="2" s="1"/>
  <c r="E15" i="8" l="1"/>
  <c r="J69" i="2"/>
  <c r="K82" i="2" s="1"/>
  <c r="E5" i="8"/>
  <c r="C35" i="8"/>
  <c r="E35" i="8" s="1"/>
  <c r="C25" i="8"/>
  <c r="C45" i="8"/>
  <c r="E45" i="8" s="1"/>
  <c r="C42" i="8"/>
  <c r="E42" i="8" s="1"/>
  <c r="C39" i="8"/>
  <c r="E39" i="8" s="1"/>
  <c r="E10" i="8"/>
  <c r="C24" i="8"/>
  <c r="C37" i="8"/>
  <c r="E37" i="8" s="1"/>
  <c r="C16" i="8"/>
  <c r="C17" i="8"/>
  <c r="C11" i="8"/>
  <c r="E11" i="8" s="1"/>
  <c r="C43" i="8"/>
  <c r="E43" i="8" s="1"/>
  <c r="D82" i="4"/>
  <c r="C34" i="8"/>
  <c r="C7" i="8"/>
  <c r="C40" i="8"/>
  <c r="E40" i="8" s="1"/>
  <c r="C38" i="8"/>
  <c r="E14" i="8"/>
  <c r="C41" i="8"/>
  <c r="E41" i="8" s="1"/>
  <c r="C36" i="8"/>
  <c r="E36" i="8" s="1"/>
  <c r="C57" i="8"/>
  <c r="E57" i="8" s="1"/>
  <c r="C23" i="8"/>
  <c r="C28" i="8"/>
  <c r="D81" i="4"/>
  <c r="D83" i="4" s="1"/>
  <c r="C4" i="8"/>
  <c r="C74" i="4"/>
  <c r="E36" i="2"/>
  <c r="F41" i="4" s="1"/>
  <c r="D19" i="8" s="1"/>
  <c r="E19" i="8" s="1"/>
  <c r="I23" i="2"/>
  <c r="I42" i="2" s="1"/>
  <c r="G23" i="2"/>
  <c r="G42" i="2" s="1"/>
  <c r="E44" i="2"/>
  <c r="F49" i="4" s="1"/>
  <c r="D34" i="8" s="1"/>
  <c r="F21" i="4"/>
  <c r="D38" i="8" s="1"/>
  <c r="M69" i="2"/>
  <c r="L69" i="2"/>
  <c r="K80" i="2" s="1"/>
  <c r="D42" i="2"/>
  <c r="B25" i="4"/>
  <c r="B47" i="4" s="1"/>
  <c r="N69" i="2"/>
  <c r="K76" i="2" s="1"/>
  <c r="D60" i="2"/>
  <c r="E9" i="2"/>
  <c r="F11" i="4" s="1"/>
  <c r="D4" i="8" s="1"/>
  <c r="O69" i="2"/>
  <c r="E7" i="2"/>
  <c r="F9" i="4" s="1"/>
  <c r="D7" i="8" s="1"/>
  <c r="D23" i="2"/>
  <c r="E15" i="2"/>
  <c r="E21" i="2"/>
  <c r="F23" i="4" s="1"/>
  <c r="D29" i="8" s="1"/>
  <c r="E29" i="8" s="1"/>
  <c r="E16" i="2"/>
  <c r="E13" i="2"/>
  <c r="E18" i="2"/>
  <c r="E12" i="2"/>
  <c r="D47" i="4"/>
  <c r="D69" i="4"/>
  <c r="B69" i="4"/>
  <c r="E47" i="4"/>
  <c r="E69" i="4"/>
  <c r="E17" i="2"/>
  <c r="F69" i="2"/>
  <c r="H64" i="2"/>
  <c r="H69" i="2" s="1"/>
  <c r="D44" i="8" l="1"/>
  <c r="E42" i="2"/>
  <c r="E34" i="8"/>
  <c r="E7" i="8"/>
  <c r="I69" i="2"/>
  <c r="K77" i="2" s="1"/>
  <c r="D8" i="8"/>
  <c r="E38" i="8"/>
  <c r="C44" i="8"/>
  <c r="E32" i="8"/>
  <c r="C12" i="8"/>
  <c r="E12" i="8" s="1"/>
  <c r="C21" i="8"/>
  <c r="E23" i="8"/>
  <c r="C30" i="8"/>
  <c r="C8" i="8"/>
  <c r="E4" i="8"/>
  <c r="E23" i="2"/>
  <c r="F25" i="4" s="1"/>
  <c r="F47" i="4" s="1"/>
  <c r="G64" i="2"/>
  <c r="E64" i="2" s="1"/>
  <c r="F69" i="4" s="1"/>
  <c r="F17" i="4"/>
  <c r="F20" i="4"/>
  <c r="F15" i="4"/>
  <c r="F19" i="4"/>
  <c r="F18" i="4"/>
  <c r="F14" i="4"/>
  <c r="F16" i="4"/>
  <c r="B74" i="4"/>
  <c r="D74" i="4"/>
  <c r="E74" i="4"/>
  <c r="D64" i="2"/>
  <c r="E44" i="8" l="1"/>
  <c r="F74" i="4"/>
  <c r="D26" i="8"/>
  <c r="E26" i="8" s="1"/>
  <c r="D24" i="8"/>
  <c r="D28" i="8"/>
  <c r="E28" i="8" s="1"/>
  <c r="D17" i="8"/>
  <c r="E17" i="8" s="1"/>
  <c r="D27" i="8"/>
  <c r="E27" i="8" s="1"/>
  <c r="D16" i="8"/>
  <c r="D25" i="8"/>
  <c r="E25" i="8" s="1"/>
  <c r="C56" i="8"/>
  <c r="E8" i="8"/>
  <c r="D69" i="2"/>
  <c r="G69" i="2"/>
  <c r="G118" i="2" l="1"/>
  <c r="G120" i="2" s="1"/>
  <c r="K75" i="2"/>
  <c r="K83" i="2" s="1"/>
  <c r="G122" i="2"/>
  <c r="E69" i="2"/>
  <c r="D21" i="8"/>
  <c r="E16" i="8"/>
  <c r="D30" i="8"/>
  <c r="E30" i="8" s="1"/>
  <c r="E24" i="8"/>
  <c r="C58" i="8"/>
  <c r="D56" i="8" l="1"/>
  <c r="E21" i="8"/>
  <c r="D58" i="8" l="1"/>
  <c r="E58" i="8" s="1"/>
  <c r="E56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Rupe</author>
  </authors>
  <commentList>
    <comment ref="J69" authorId="0" shapeId="0" xr:uid="{9655F49D-88C2-4B6B-96CF-EF4787F0F0CA}">
      <text>
        <r>
          <rPr>
            <b/>
            <sz val="9"/>
            <color indexed="81"/>
            <rFont val="Tahoma"/>
            <family val="2"/>
          </rPr>
          <t>Chris Rupe:</t>
        </r>
        <r>
          <rPr>
            <sz val="9"/>
            <color indexed="81"/>
            <rFont val="Tahoma"/>
            <family val="2"/>
          </rPr>
          <t xml:space="preserve">
Local is $1,833,316 of this total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Rupe</author>
  </authors>
  <commentList>
    <comment ref="D20" authorId="0" shapeId="0" xr:uid="{74CE541D-9C51-4A86-9731-8071123A144C}">
      <text>
        <r>
          <rPr>
            <b/>
            <sz val="9"/>
            <color indexed="81"/>
            <rFont val="Tahoma"/>
            <family val="2"/>
          </rPr>
          <t>Chris Rupe:</t>
        </r>
        <r>
          <rPr>
            <sz val="9"/>
            <color indexed="81"/>
            <rFont val="Tahoma"/>
            <family val="2"/>
          </rPr>
          <t xml:space="preserve">
17930970 total per G101 of Act 154</t>
        </r>
      </text>
    </comment>
    <comment ref="D29" authorId="0" shapeId="0" xr:uid="{2B7FC681-5306-43A0-A20C-AE5C383C6A6D}">
      <text>
        <r>
          <rPr>
            <b/>
            <sz val="9"/>
            <color indexed="81"/>
            <rFont val="Tahoma"/>
            <family val="2"/>
          </rPr>
          <t>Chris Rupe:</t>
        </r>
        <r>
          <rPr>
            <sz val="9"/>
            <color indexed="81"/>
            <rFont val="Tahoma"/>
            <family val="2"/>
          </rPr>
          <t xml:space="preserve">
Chris Rupe:
$7M for TH Aid
$500k for mainteance and mowing
$1M for New PEV Incentive
$500K for public transit initiatives $2.4M leveling and paving</t>
        </r>
      </text>
    </comment>
    <comment ref="E29" authorId="0" shapeId="0" xr:uid="{E7732D02-6CAD-4B3F-B5CF-AC92B7DC48EB}">
      <text>
        <r>
          <rPr>
            <b/>
            <sz val="9"/>
            <color indexed="81"/>
            <rFont val="Tahoma"/>
            <family val="2"/>
          </rPr>
          <t>Chris Rupe:</t>
        </r>
        <r>
          <rPr>
            <sz val="9"/>
            <color indexed="81"/>
            <rFont val="Tahoma"/>
            <family val="2"/>
          </rPr>
          <t xml:space="preserve">
$2M EV Incentives; $1.5M Replace Your Ride
$250k Education and Outreach 
$250k Sales Incentives for Dealers 
$1M EV Charging Infrastructure</t>
        </r>
      </text>
    </comment>
    <comment ref="D86" authorId="0" shapeId="0" xr:uid="{B44F39DC-FFE1-49D7-99AE-FC67BCFF4B62}">
      <text>
        <r>
          <rPr>
            <b/>
            <sz val="9"/>
            <color indexed="81"/>
            <rFont val="Tahoma"/>
            <family val="2"/>
          </rPr>
          <t>Chris Rupe:</t>
        </r>
        <r>
          <rPr>
            <sz val="9"/>
            <color indexed="81"/>
            <rFont val="Tahoma"/>
            <family val="2"/>
          </rPr>
          <t xml:space="preserve">
Act 154 B.1100.1(a)(1)
</t>
        </r>
      </text>
    </comment>
    <comment ref="D87" authorId="0" shapeId="0" xr:uid="{385D64AC-9CDC-49E3-A446-22DDF8B9685D}">
      <text>
        <r>
          <rPr>
            <b/>
            <sz val="9"/>
            <color indexed="81"/>
            <rFont val="Tahoma"/>
            <family val="2"/>
          </rPr>
          <t>Chris Rupe:</t>
        </r>
        <r>
          <rPr>
            <sz val="9"/>
            <color indexed="81"/>
            <rFont val="Tahoma"/>
            <family val="2"/>
          </rPr>
          <t xml:space="preserve">
Act 154 B.1100.1(b)
</t>
        </r>
      </text>
    </comment>
    <comment ref="D89" authorId="0" shapeId="0" xr:uid="{DC892DD6-637B-43BC-A190-9A5AA9236BF0}">
      <text>
        <r>
          <rPr>
            <b/>
            <sz val="9"/>
            <color indexed="81"/>
            <rFont val="Tahoma"/>
            <family val="2"/>
          </rPr>
          <t>Chris Rupe:</t>
        </r>
        <r>
          <rPr>
            <sz val="9"/>
            <color indexed="81"/>
            <rFont val="Tahoma"/>
            <family val="2"/>
          </rPr>
          <t xml:space="preserve">
Act 154 D.101(a)(3)</t>
        </r>
      </text>
    </comment>
    <comment ref="D90" authorId="0" shapeId="0" xr:uid="{DDEC2A9F-AB65-4C4E-A812-C4D66CB72B11}">
      <text>
        <r>
          <rPr>
            <b/>
            <sz val="9"/>
            <color indexed="81"/>
            <rFont val="Tahoma"/>
            <family val="2"/>
          </rPr>
          <t>Chris Rupe:</t>
        </r>
        <r>
          <rPr>
            <sz val="9"/>
            <color indexed="81"/>
            <rFont val="Tahoma"/>
            <family val="2"/>
          </rPr>
          <t xml:space="preserve">
Act 154 D.101(a)(4)
</t>
        </r>
      </text>
    </comment>
  </commentList>
</comments>
</file>

<file path=xl/sharedStrings.xml><?xml version="1.0" encoding="utf-8"?>
<sst xmlns="http://schemas.openxmlformats.org/spreadsheetml/2006/main" count="300" uniqueCount="240">
  <si>
    <t>Total Available T-Fund Revenue</t>
  </si>
  <si>
    <t>Transfer to /(from) Budget Stabilization Reserve</t>
  </si>
  <si>
    <t>Transfer (from) Other Funds</t>
  </si>
  <si>
    <t>Transfer to Rec Trail Fund per 10 V.S.A. 446</t>
  </si>
  <si>
    <t>Transfer to Central Garage per 19 V.S.A. 13</t>
  </si>
  <si>
    <t>One-Time Appropriations/Pay Act</t>
  </si>
  <si>
    <t>Debt Service</t>
  </si>
  <si>
    <t>B.1000</t>
  </si>
  <si>
    <t>Information Centers appropriation to BGS</t>
  </si>
  <si>
    <t>B.114</t>
  </si>
  <si>
    <t>JTOC appropriation to DPS</t>
  </si>
  <si>
    <t>B.209</t>
  </si>
  <si>
    <t>Transfer from TIB Fund to TIB Debt Service Fund to prepay FY23 Debt Service.($2,502,363). No impact to T-Fund.</t>
  </si>
  <si>
    <t>Transfer from TF to Downtown Fund (one-time +$3.5M over $523,966 base)</t>
  </si>
  <si>
    <t xml:space="preserve">TOTAL PROGRAMS </t>
  </si>
  <si>
    <t>TRANSPORTATION BOARD</t>
  </si>
  <si>
    <t>B.921</t>
  </si>
  <si>
    <t xml:space="preserve">     Total "Town Highway" Programs </t>
  </si>
  <si>
    <t>TH PUBLIC ASSISTANCE GRANTS</t>
  </si>
  <si>
    <t>B.920</t>
  </si>
  <si>
    <t>MUNICIPAL MITIGATION ASSISTANCE PROGRAM</t>
  </si>
  <si>
    <t>B.919</t>
  </si>
  <si>
    <t>TH VERMONT LOCAL ROADS</t>
  </si>
  <si>
    <t>B.912</t>
  </si>
  <si>
    <t>TH CLASS 1 SUPPLEMENTAL GRANTS</t>
  </si>
  <si>
    <t>B.916</t>
  </si>
  <si>
    <t>TH AID PROGRAM</t>
  </si>
  <si>
    <t>B.915</t>
  </si>
  <si>
    <t>TH - FEDERAL DISASTERS</t>
  </si>
  <si>
    <t>B.918</t>
  </si>
  <si>
    <t>TH - NONFEDERAL DISASTERS</t>
  </si>
  <si>
    <t>B.917</t>
  </si>
  <si>
    <t>TH CLASS 2 ROADWAY PROGRAM</t>
  </si>
  <si>
    <t>B.913</t>
  </si>
  <si>
    <t>TH STRUCTURES</t>
  </si>
  <si>
    <t>B.911</t>
  </si>
  <si>
    <t>TOWN HIGHWAY BRIDGES</t>
  </si>
  <si>
    <t>B.914</t>
  </si>
  <si>
    <t xml:space="preserve">    Total "VTrans" Programs</t>
  </si>
  <si>
    <t xml:space="preserve">TRANSPORTATION BUILDINGS </t>
  </si>
  <si>
    <t>B.902</t>
  </si>
  <si>
    <t>CENTRAL GARAGE</t>
  </si>
  <si>
    <t>B.909</t>
  </si>
  <si>
    <t/>
  </si>
  <si>
    <t xml:space="preserve">RAIL </t>
  </si>
  <si>
    <t>B.907</t>
  </si>
  <si>
    <t>AVIATION</t>
  </si>
  <si>
    <t>B.901</t>
  </si>
  <si>
    <t>PUBLIC TRANSIT PROGRAM</t>
  </si>
  <si>
    <t>B.908</t>
  </si>
  <si>
    <t>MAINTENANCE</t>
  </si>
  <si>
    <t>B.905</t>
  </si>
  <si>
    <t>POLICY &amp; PLANNING</t>
  </si>
  <si>
    <t>B.906</t>
  </si>
  <si>
    <t>REST AREAS</t>
  </si>
  <si>
    <t>B.904</t>
  </si>
  <si>
    <t>AOT ONE-TIME</t>
  </si>
  <si>
    <t>AOT COVID-19</t>
  </si>
  <si>
    <t xml:space="preserve">Total Program Development </t>
  </si>
  <si>
    <t xml:space="preserve">Program Development Administration </t>
  </si>
  <si>
    <t>Multi-Modal Facilities</t>
  </si>
  <si>
    <t>Transportation Alternatives</t>
  </si>
  <si>
    <t>Bike &amp; Pedestrian Facilities</t>
  </si>
  <si>
    <t xml:space="preserve">Park &amp; Ride </t>
  </si>
  <si>
    <t>Traffic &amp; Safety</t>
  </si>
  <si>
    <t xml:space="preserve">Roadway </t>
  </si>
  <si>
    <t>State Highway Bridge</t>
  </si>
  <si>
    <t xml:space="preserve">Interstate Bridge </t>
  </si>
  <si>
    <t xml:space="preserve">Paving </t>
  </si>
  <si>
    <t>PROGRAM DEVELOPMENT</t>
  </si>
  <si>
    <t>B.903</t>
  </si>
  <si>
    <t>FINANCE &amp; ADMINISTRATION</t>
  </si>
  <si>
    <t>B.900</t>
  </si>
  <si>
    <t>DEPT. OF MOTOR VEHICLES</t>
  </si>
  <si>
    <t>B.910</t>
  </si>
  <si>
    <t>SERVICE</t>
  </si>
  <si>
    <t>TIB/GO BONDS</t>
  </si>
  <si>
    <t>TIB FUNDS</t>
  </si>
  <si>
    <t>ARRA</t>
  </si>
  <si>
    <t>TRANSFERS</t>
  </si>
  <si>
    <t>FUND</t>
  </si>
  <si>
    <t>OTHER</t>
  </si>
  <si>
    <t>GOVREC</t>
  </si>
  <si>
    <t>Big Bill Sec.</t>
  </si>
  <si>
    <t>INTERNAL</t>
  </si>
  <si>
    <t>INTERDEPT</t>
  </si>
  <si>
    <t>GENERAL</t>
  </si>
  <si>
    <t>LOCAL/</t>
  </si>
  <si>
    <t>FEDERAL</t>
  </si>
  <si>
    <t>State (T-Fund)</t>
  </si>
  <si>
    <t>TOTAL</t>
  </si>
  <si>
    <t>AGENCY OF TRANSPORTATION</t>
  </si>
  <si>
    <t>Replace Your Ride</t>
  </si>
  <si>
    <t>MileageSmart</t>
  </si>
  <si>
    <t>Town Highway Aid</t>
  </si>
  <si>
    <t>Transfer from Capital Fund to AOT</t>
  </si>
  <si>
    <t>Transfer from TIB to TIB Debt Svc Fund</t>
  </si>
  <si>
    <t>Transfer from TF to Downtown Fund</t>
  </si>
  <si>
    <t>Transfer from TF to Central Garage</t>
  </si>
  <si>
    <t>Transfer from TF to ADS for DMV IT</t>
  </si>
  <si>
    <t>FY21</t>
  </si>
  <si>
    <t>ADDITIONAL ONE-TIME ITEMS NOT REFLECTED IN AOT BUDGET</t>
  </si>
  <si>
    <t>Bridge Total</t>
  </si>
  <si>
    <t>Town Highway Bridge</t>
  </si>
  <si>
    <t>Interstate Bridge</t>
  </si>
  <si>
    <t>Bridge Summary:</t>
  </si>
  <si>
    <t>C.Rupe/JFO</t>
  </si>
  <si>
    <t>TOTAL PROGRAMS</t>
  </si>
  <si>
    <t xml:space="preserve">     Total "Town Highway" Programs</t>
  </si>
  <si>
    <t>TRANSPORTATION BUILDINGS</t>
  </si>
  <si>
    <t>RAIL</t>
  </si>
  <si>
    <t xml:space="preserve">PUBLIC TRANSIT PROGRAM </t>
  </si>
  <si>
    <t>Total Program Development</t>
  </si>
  <si>
    <t>Program Development Administration</t>
  </si>
  <si>
    <t>Roadway</t>
  </si>
  <si>
    <t>Paving</t>
  </si>
  <si>
    <t>DISCRETIONARY FUNDS</t>
  </si>
  <si>
    <t>GOV REC</t>
  </si>
  <si>
    <t>AS PASSED</t>
  </si>
  <si>
    <t>FY2022</t>
  </si>
  <si>
    <t>FY2021</t>
  </si>
  <si>
    <t>FY2020</t>
  </si>
  <si>
    <t>FY2019</t>
  </si>
  <si>
    <t>FY22</t>
  </si>
  <si>
    <t>Maintenance</t>
  </si>
  <si>
    <t>Sec. 4</t>
  </si>
  <si>
    <t>Sec. 8</t>
  </si>
  <si>
    <t>Sec.3</t>
  </si>
  <si>
    <t>Emissions Repair Program</t>
  </si>
  <si>
    <t>E-Bike Incentives</t>
  </si>
  <si>
    <t>T-Fund Impact</t>
  </si>
  <si>
    <t>Big Bill Sec</t>
  </si>
  <si>
    <t>T-Bill Sec.</t>
  </si>
  <si>
    <t>H. 439</t>
  </si>
  <si>
    <t>H. 433</t>
  </si>
  <si>
    <t>B.1104</t>
  </si>
  <si>
    <t>Move Springfield Bridge 0134(49) to Town Bridges ($514,162 total)</t>
  </si>
  <si>
    <t>Incentive Program for New PEVs</t>
  </si>
  <si>
    <t>General Fund</t>
  </si>
  <si>
    <t>Sec. 20</t>
  </si>
  <si>
    <t>New Haven Train Station</t>
  </si>
  <si>
    <t>Move Springfield Bridge 0134(49) ($514,162 total) from State Highway Bridges</t>
  </si>
  <si>
    <t>G.501(a)(1)</t>
  </si>
  <si>
    <t>DMV IT System Project</t>
  </si>
  <si>
    <t>G.700(a)(1)( C)</t>
  </si>
  <si>
    <t>F.111(a)(1)(B)</t>
  </si>
  <si>
    <t>Clean Water/Phosphorus Control Planning</t>
  </si>
  <si>
    <t>Municipal Mitigation Assistance Program</t>
  </si>
  <si>
    <t>Excludes ARPA funding</t>
  </si>
  <si>
    <t>H.433 Committee of Conference</t>
  </si>
  <si>
    <t>FY2022 Budget Overview</t>
  </si>
  <si>
    <t>T-Fund</t>
  </si>
  <si>
    <t>AOT One-Time Appropriations</t>
  </si>
  <si>
    <t>GovRec</t>
  </si>
  <si>
    <t>Committee of Conference</t>
  </si>
  <si>
    <t>EV Charger Grants</t>
  </si>
  <si>
    <t>Line #</t>
  </si>
  <si>
    <t>All funding sources</t>
  </si>
  <si>
    <t>FY21
As Passed</t>
  </si>
  <si>
    <t>Administration-finance-planning</t>
  </si>
  <si>
    <t>Central Admin &amp; Finance</t>
  </si>
  <si>
    <t>Policy &amp; Planning</t>
  </si>
  <si>
    <t>Transportation Board</t>
  </si>
  <si>
    <t>Department of Motor Vehicles</t>
  </si>
  <si>
    <t>Sub-total</t>
  </si>
  <si>
    <t>Facilities</t>
  </si>
  <si>
    <t>Rest Areas</t>
  </si>
  <si>
    <t>AOT Buildings</t>
  </si>
  <si>
    <t>Alternate modes</t>
  </si>
  <si>
    <t>Public Transit</t>
  </si>
  <si>
    <t>Aviation</t>
  </si>
  <si>
    <t>Pedestrian &amp; Bike Facilities</t>
  </si>
  <si>
    <t>Rail infrastructure</t>
  </si>
  <si>
    <t>Amtrak</t>
  </si>
  <si>
    <t>State Highway Infrastructure</t>
  </si>
  <si>
    <t>State bridges</t>
  </si>
  <si>
    <t>Interstate bridges</t>
  </si>
  <si>
    <t>PD Admin &amp; Tech Services</t>
  </si>
  <si>
    <t>Town programs</t>
  </si>
  <si>
    <t>Town Bridges</t>
  </si>
  <si>
    <t xml:space="preserve">TH Class 2 </t>
  </si>
  <si>
    <t>TH Structures</t>
  </si>
  <si>
    <t>TH Class 1 supplemental grants</t>
  </si>
  <si>
    <t>TH State aid nonfederal disasters</t>
  </si>
  <si>
    <t>TH State aid federal disasters</t>
  </si>
  <si>
    <t>FEMA grant program</t>
  </si>
  <si>
    <t>TH VT Local Roads</t>
  </si>
  <si>
    <t>Municipal mitigation grants</t>
  </si>
  <si>
    <t>AOT Covid-19</t>
  </si>
  <si>
    <t>EV Purchase Incentives Program</t>
  </si>
  <si>
    <t xml:space="preserve"> Total All Programs</t>
  </si>
  <si>
    <t xml:space="preserve"> Central Garage Internal Service Funds</t>
  </si>
  <si>
    <t xml:space="preserve"> Total Appropriations</t>
  </si>
  <si>
    <t>H.433 - FY22 Transportation Program</t>
  </si>
  <si>
    <t>FY22 vs FY21</t>
  </si>
  <si>
    <t>H.433</t>
  </si>
  <si>
    <t>Trans. Alternatives/Enhancements</t>
  </si>
  <si>
    <t>DMV IT System</t>
  </si>
  <si>
    <t>Emission Repair Program</t>
  </si>
  <si>
    <t>Clean Water/Phosphorus Control</t>
  </si>
  <si>
    <t>FY22 
As Passed</t>
  </si>
  <si>
    <t>One-Time Investments</t>
  </si>
  <si>
    <t>Town Highway Aid (Formula)</t>
  </si>
  <si>
    <t>Town Highway Aid (One-Time)</t>
  </si>
  <si>
    <t>Sec. 5</t>
  </si>
  <si>
    <t>Sec. 6</t>
  </si>
  <si>
    <t>Sec. 7</t>
  </si>
  <si>
    <t>Sec. 11</t>
  </si>
  <si>
    <t>Sec. 17</t>
  </si>
  <si>
    <t>Sec. 25</t>
  </si>
  <si>
    <t>Sec. 27</t>
  </si>
  <si>
    <t>Sec. 28</t>
  </si>
  <si>
    <t>Sec. 29</t>
  </si>
  <si>
    <t>Federal/ARPA</t>
  </si>
  <si>
    <t>C.Rupe/JFO  May 18, 2021</t>
  </si>
  <si>
    <t>Reflects All Funds</t>
  </si>
  <si>
    <t>Transfer from ARPA to Downtown Fund</t>
  </si>
  <si>
    <t>FY21 Includes BAA Adjustments</t>
  </si>
  <si>
    <t>FY22 vs. Prior Years (All Funds)
Originally Adopted Budgets - Excludes BAA Adjustments</t>
  </si>
  <si>
    <t>Excludes $3M one-time</t>
  </si>
  <si>
    <t>Total T-Fund Appropriations in Big Bill</t>
  </si>
  <si>
    <t>Total T-Fund Expenditures (incl. transfers)</t>
  </si>
  <si>
    <t>Total T-Fund Transfers</t>
  </si>
  <si>
    <t>Transportation Fund</t>
  </si>
  <si>
    <t>TIB</t>
  </si>
  <si>
    <t>Federal</t>
  </si>
  <si>
    <t>Internal Service</t>
  </si>
  <si>
    <t>Interdept Transfers</t>
  </si>
  <si>
    <t>Local</t>
  </si>
  <si>
    <t>Other</t>
  </si>
  <si>
    <t>Total AOT Appropriations</t>
  </si>
  <si>
    <t>Total</t>
  </si>
  <si>
    <t>AOT T-Bill Appropriations (including 1x)</t>
  </si>
  <si>
    <t>G.600(b)(3)</t>
  </si>
  <si>
    <t>D.101(a)(8)</t>
  </si>
  <si>
    <t>$1.5M from GF to ACCD for Downtown Fund. No impact to T-Fund.</t>
  </si>
  <si>
    <t>G.300(b)(8)</t>
  </si>
  <si>
    <t>D.101(a)(9)</t>
  </si>
  <si>
    <t>BIG BILL ITEMS NOT INCLUDED IN AOT BUDGET or T-BILL</t>
  </si>
  <si>
    <t>B.922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</si>
</sst>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[$-409]dd\-mmm\-yy;@"/>
    <numFmt numFmtId="165" formatCode="0.0%"/>
    <numFmt numFmtId="166" formatCode="_(* #,##0_);_(* \(#,##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u/>
      <sz val="14"/>
      <name val="Arial"/>
      <family val="2"/>
    </font>
    <font>
      <b/>
      <sz val="14"/>
      <color rgb="FFFF0000"/>
      <name val="Arial"/>
      <family val="2"/>
    </font>
    <font>
      <i/>
      <sz val="14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6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auto="1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3">
    <xf numFmtId="0" fontId="0" fillId="0" borderId="0" xfId="0"/>
    <xf numFmtId="0" fontId="2" fillId="0" borderId="0" xfId="2"/>
    <xf numFmtId="38" fontId="2" fillId="0" borderId="0" xfId="2" applyNumberFormat="1"/>
    <xf numFmtId="38" fontId="3" fillId="0" borderId="0" xfId="2" applyNumberFormat="1" applyFont="1"/>
    <xf numFmtId="37" fontId="3" fillId="0" borderId="0" xfId="2" applyNumberFormat="1" applyFont="1"/>
    <xf numFmtId="38" fontId="5" fillId="0" borderId="0" xfId="2" applyNumberFormat="1" applyFont="1"/>
    <xf numFmtId="38" fontId="5" fillId="0" borderId="0" xfId="2" applyNumberFormat="1" applyFont="1" applyAlignment="1">
      <alignment horizontal="right"/>
    </xf>
    <xf numFmtId="38" fontId="5" fillId="0" borderId="0" xfId="2" quotePrefix="1" applyNumberFormat="1" applyFont="1" applyAlignment="1">
      <alignment horizontal="left" indent="1"/>
    </xf>
    <xf numFmtId="38" fontId="5" fillId="0" borderId="0" xfId="2" applyNumberFormat="1" applyFont="1" applyAlignment="1">
      <alignment horizontal="left"/>
    </xf>
    <xf numFmtId="38" fontId="7" fillId="0" borderId="6" xfId="2" applyNumberFormat="1" applyFont="1" applyBorder="1"/>
    <xf numFmtId="38" fontId="7" fillId="0" borderId="0" xfId="2" applyNumberFormat="1" applyFont="1"/>
    <xf numFmtId="38" fontId="8" fillId="0" borderId="0" xfId="2" applyNumberFormat="1" applyFont="1"/>
    <xf numFmtId="38" fontId="7" fillId="0" borderId="12" xfId="2" applyNumberFormat="1" applyFont="1" applyBorder="1"/>
    <xf numFmtId="38" fontId="7" fillId="0" borderId="16" xfId="2" applyNumberFormat="1" applyFont="1" applyBorder="1"/>
    <xf numFmtId="14" fontId="3" fillId="0" borderId="0" xfId="2" applyNumberFormat="1" applyFont="1" applyAlignment="1">
      <alignment horizontal="center"/>
    </xf>
    <xf numFmtId="0" fontId="2" fillId="0" borderId="0" xfId="2" applyAlignment="1">
      <alignment horizontal="left" indent="1"/>
    </xf>
    <xf numFmtId="37" fontId="2" fillId="0" borderId="0" xfId="2" applyNumberFormat="1"/>
    <xf numFmtId="38" fontId="13" fillId="0" borderId="0" xfId="2" applyNumberFormat="1" applyFont="1"/>
    <xf numFmtId="164" fontId="14" fillId="0" borderId="0" xfId="2" applyNumberFormat="1" applyFont="1" applyAlignment="1">
      <alignment horizontal="left"/>
    </xf>
    <xf numFmtId="164" fontId="15" fillId="0" borderId="0" xfId="2" applyNumberFormat="1" applyFont="1" applyAlignment="1">
      <alignment horizontal="left"/>
    </xf>
    <xf numFmtId="38" fontId="2" fillId="0" borderId="22" xfId="2" applyNumberFormat="1" applyBorder="1"/>
    <xf numFmtId="38" fontId="2" fillId="0" borderId="23" xfId="2" applyNumberFormat="1" applyBorder="1"/>
    <xf numFmtId="38" fontId="2" fillId="0" borderId="20" xfId="2" applyNumberFormat="1" applyBorder="1"/>
    <xf numFmtId="38" fontId="2" fillId="0" borderId="14" xfId="2" applyNumberFormat="1" applyBorder="1"/>
    <xf numFmtId="38" fontId="2" fillId="0" borderId="15" xfId="2" applyNumberFormat="1" applyBorder="1"/>
    <xf numFmtId="38" fontId="2" fillId="0" borderId="11" xfId="2" applyNumberFormat="1" applyBorder="1"/>
    <xf numFmtId="38" fontId="2" fillId="0" borderId="21" xfId="2" applyNumberFormat="1" applyBorder="1"/>
    <xf numFmtId="38" fontId="2" fillId="0" borderId="9" xfId="2" applyNumberFormat="1" applyBorder="1"/>
    <xf numFmtId="38" fontId="16" fillId="0" borderId="0" xfId="2" applyNumberFormat="1" applyFont="1"/>
    <xf numFmtId="165" fontId="2" fillId="0" borderId="0" xfId="3" applyNumberFormat="1" applyAlignment="1">
      <alignment horizontal="left" indent="1"/>
    </xf>
    <xf numFmtId="38" fontId="5" fillId="0" borderId="12" xfId="2" applyNumberFormat="1" applyFont="1" applyBorder="1"/>
    <xf numFmtId="38" fontId="3" fillId="2" borderId="14" xfId="2" applyNumberFormat="1" applyFont="1" applyFill="1" applyBorder="1"/>
    <xf numFmtId="38" fontId="3" fillId="2" borderId="1" xfId="2" applyNumberFormat="1" applyFont="1" applyFill="1" applyBorder="1"/>
    <xf numFmtId="38" fontId="5" fillId="2" borderId="12" xfId="2" applyNumberFormat="1" applyFont="1" applyFill="1" applyBorder="1"/>
    <xf numFmtId="38" fontId="2" fillId="0" borderId="12" xfId="2" applyNumberFormat="1" applyBorder="1"/>
    <xf numFmtId="38" fontId="17" fillId="0" borderId="14" xfId="2" applyNumberFormat="1" applyFont="1" applyBorder="1"/>
    <xf numFmtId="38" fontId="17" fillId="0" borderId="1" xfId="2" applyNumberFormat="1" applyFont="1" applyBorder="1"/>
    <xf numFmtId="38" fontId="8" fillId="0" borderId="12" xfId="2" applyNumberFormat="1" applyFont="1" applyBorder="1"/>
    <xf numFmtId="38" fontId="2" fillId="0" borderId="1" xfId="2" applyNumberFormat="1" applyBorder="1"/>
    <xf numFmtId="38" fontId="2" fillId="0" borderId="6" xfId="2" applyNumberFormat="1" applyBorder="1"/>
    <xf numFmtId="38" fontId="2" fillId="0" borderId="19" xfId="2" applyNumberFormat="1" applyBorder="1"/>
    <xf numFmtId="38" fontId="2" fillId="0" borderId="17" xfId="2" applyNumberFormat="1" applyBorder="1"/>
    <xf numFmtId="38" fontId="2" fillId="0" borderId="0" xfId="2" applyNumberFormat="1" applyAlignment="1">
      <alignment horizontal="center"/>
    </xf>
    <xf numFmtId="38" fontId="7" fillId="0" borderId="12" xfId="2" applyNumberFormat="1" applyFont="1" applyBorder="1" applyAlignment="1">
      <alignment horizontal="center"/>
    </xf>
    <xf numFmtId="38" fontId="7" fillId="0" borderId="0" xfId="2" applyNumberFormat="1" applyFont="1" applyAlignment="1">
      <alignment horizontal="left" indent="1"/>
    </xf>
    <xf numFmtId="38" fontId="3" fillId="0" borderId="14" xfId="2" applyNumberFormat="1" applyFont="1" applyBorder="1" applyAlignment="1">
      <alignment horizontal="center"/>
    </xf>
    <xf numFmtId="38" fontId="3" fillId="0" borderId="2" xfId="2" applyNumberFormat="1" applyFont="1" applyBorder="1" applyAlignment="1">
      <alignment horizontal="center"/>
    </xf>
    <xf numFmtId="38" fontId="9" fillId="0" borderId="1" xfId="2" applyNumberFormat="1" applyFont="1" applyBorder="1"/>
    <xf numFmtId="37" fontId="2" fillId="0" borderId="0" xfId="2" applyNumberFormat="1" applyAlignment="1">
      <alignment horizontal="left" indent="1"/>
    </xf>
    <xf numFmtId="38" fontId="3" fillId="0" borderId="11" xfId="2" applyNumberFormat="1" applyFont="1" applyBorder="1" applyAlignment="1">
      <alignment horizontal="center"/>
    </xf>
    <xf numFmtId="14" fontId="3" fillId="0" borderId="6" xfId="2" applyNumberFormat="1" applyFont="1" applyBorder="1" applyAlignment="1">
      <alignment horizontal="center"/>
    </xf>
    <xf numFmtId="14" fontId="3" fillId="0" borderId="12" xfId="2" applyNumberFormat="1" applyFont="1" applyBorder="1" applyAlignment="1">
      <alignment horizontal="center"/>
    </xf>
    <xf numFmtId="14" fontId="18" fillId="0" borderId="12" xfId="2" applyNumberFormat="1" applyFont="1" applyBorder="1" applyAlignment="1">
      <alignment horizontal="center"/>
    </xf>
    <xf numFmtId="38" fontId="19" fillId="0" borderId="0" xfId="2" applyNumberFormat="1" applyFont="1" applyAlignment="1">
      <alignment horizontal="center"/>
    </xf>
    <xf numFmtId="38" fontId="3" fillId="0" borderId="15" xfId="2" applyNumberFormat="1" applyFont="1" applyFill="1" applyBorder="1" applyAlignment="1">
      <alignment horizontal="center"/>
    </xf>
    <xf numFmtId="38" fontId="3" fillId="0" borderId="20" xfId="2" applyNumberFormat="1" applyFont="1" applyFill="1" applyBorder="1" applyAlignment="1">
      <alignment horizontal="center"/>
    </xf>
    <xf numFmtId="38" fontId="2" fillId="0" borderId="15" xfId="2" applyNumberFormat="1" applyFill="1" applyBorder="1"/>
    <xf numFmtId="38" fontId="2" fillId="0" borderId="19" xfId="2" applyNumberFormat="1" applyFill="1" applyBorder="1"/>
    <xf numFmtId="38" fontId="2" fillId="0" borderId="21" xfId="2" applyNumberFormat="1" applyFill="1" applyBorder="1"/>
    <xf numFmtId="38" fontId="2" fillId="0" borderId="14" xfId="2" applyNumberFormat="1" applyFill="1" applyBorder="1"/>
    <xf numFmtId="0" fontId="0" fillId="0" borderId="0" xfId="0" applyBorder="1"/>
    <xf numFmtId="0" fontId="20" fillId="0" borderId="0" xfId="2" applyFont="1"/>
    <xf numFmtId="0" fontId="18" fillId="0" borderId="0" xfId="2" applyFont="1"/>
    <xf numFmtId="38" fontId="18" fillId="0" borderId="7" xfId="2" applyNumberFormat="1" applyFont="1" applyBorder="1" applyAlignment="1">
      <alignment horizontal="center"/>
    </xf>
    <xf numFmtId="38" fontId="18" fillId="0" borderId="2" xfId="2" applyNumberFormat="1" applyFont="1" applyBorder="1" applyAlignment="1">
      <alignment horizontal="center"/>
    </xf>
    <xf numFmtId="38" fontId="20" fillId="0" borderId="0" xfId="2" applyNumberFormat="1" applyFont="1"/>
    <xf numFmtId="38" fontId="20" fillId="0" borderId="7" xfId="2" applyNumberFormat="1" applyFont="1" applyBorder="1"/>
    <xf numFmtId="38" fontId="20" fillId="0" borderId="8" xfId="2" applyNumberFormat="1" applyFont="1" applyBorder="1"/>
    <xf numFmtId="38" fontId="20" fillId="0" borderId="13" xfId="2" applyNumberFormat="1" applyFont="1" applyBorder="1"/>
    <xf numFmtId="38" fontId="20" fillId="0" borderId="13" xfId="2" applyNumberFormat="1" applyFont="1" applyFill="1" applyBorder="1"/>
    <xf numFmtId="41" fontId="20" fillId="0" borderId="0" xfId="2" applyNumberFormat="1" applyFont="1"/>
    <xf numFmtId="38" fontId="20" fillId="0" borderId="17" xfId="2" applyNumberFormat="1" applyFont="1" applyBorder="1"/>
    <xf numFmtId="38" fontId="20" fillId="0" borderId="0" xfId="2" applyNumberFormat="1" applyFont="1" applyAlignment="1">
      <alignment horizontal="right"/>
    </xf>
    <xf numFmtId="38" fontId="18" fillId="0" borderId="0" xfId="2" applyNumberFormat="1" applyFont="1"/>
    <xf numFmtId="38" fontId="20" fillId="0" borderId="0" xfId="2" quotePrefix="1" applyNumberFormat="1" applyFont="1"/>
    <xf numFmtId="38" fontId="20" fillId="0" borderId="2" xfId="2" applyNumberFormat="1" applyFont="1" applyBorder="1"/>
    <xf numFmtId="38" fontId="18" fillId="2" borderId="5" xfId="2" applyNumberFormat="1" applyFont="1" applyFill="1" applyBorder="1"/>
    <xf numFmtId="38" fontId="18" fillId="2" borderId="4" xfId="2" applyNumberFormat="1" applyFont="1" applyFill="1" applyBorder="1"/>
    <xf numFmtId="38" fontId="18" fillId="0" borderId="0" xfId="2" applyNumberFormat="1" applyFont="1" applyAlignment="1">
      <alignment horizontal="right"/>
    </xf>
    <xf numFmtId="38" fontId="18" fillId="0" borderId="0" xfId="2" applyNumberFormat="1" applyFont="1" applyAlignment="1">
      <alignment horizontal="left" indent="1"/>
    </xf>
    <xf numFmtId="0" fontId="18" fillId="0" borderId="0" xfId="2" applyFont="1" applyAlignment="1">
      <alignment wrapText="1"/>
    </xf>
    <xf numFmtId="38" fontId="3" fillId="5" borderId="20" xfId="2" applyNumberFormat="1" applyFont="1" applyFill="1" applyBorder="1"/>
    <xf numFmtId="38" fontId="20" fillId="0" borderId="0" xfId="2" applyNumberFormat="1" applyFont="1" applyBorder="1"/>
    <xf numFmtId="38" fontId="20" fillId="0" borderId="0" xfId="2" applyNumberFormat="1" applyFont="1" applyFill="1" applyBorder="1"/>
    <xf numFmtId="38" fontId="20" fillId="0" borderId="7" xfId="2" applyNumberFormat="1" applyFont="1" applyFill="1" applyBorder="1"/>
    <xf numFmtId="38" fontId="2" fillId="0" borderId="0" xfId="2" applyNumberFormat="1" applyBorder="1"/>
    <xf numFmtId="38" fontId="18" fillId="0" borderId="28" xfId="2" applyNumberFormat="1" applyFont="1" applyBorder="1" applyAlignment="1">
      <alignment horizontal="center"/>
    </xf>
    <xf numFmtId="38" fontId="2" fillId="0" borderId="13" xfId="2" applyNumberFormat="1" applyBorder="1"/>
    <xf numFmtId="38" fontId="18" fillId="0" borderId="13" xfId="2" applyNumberFormat="1" applyFont="1" applyBorder="1"/>
    <xf numFmtId="38" fontId="2" fillId="0" borderId="29" xfId="2" applyNumberFormat="1" applyBorder="1"/>
    <xf numFmtId="38" fontId="2" fillId="0" borderId="10" xfId="2" applyNumberFormat="1" applyBorder="1"/>
    <xf numFmtId="38" fontId="18" fillId="0" borderId="2" xfId="2" applyNumberFormat="1" applyFont="1" applyBorder="1"/>
    <xf numFmtId="38" fontId="20" fillId="0" borderId="18" xfId="2" applyNumberFormat="1" applyFont="1" applyBorder="1"/>
    <xf numFmtId="38" fontId="20" fillId="0" borderId="10" xfId="2" applyNumberFormat="1" applyFont="1" applyBorder="1"/>
    <xf numFmtId="38" fontId="18" fillId="2" borderId="3" xfId="2" applyNumberFormat="1" applyFont="1" applyFill="1" applyBorder="1"/>
    <xf numFmtId="38" fontId="23" fillId="2" borderId="3" xfId="2" applyNumberFormat="1" applyFont="1" applyFill="1" applyBorder="1"/>
    <xf numFmtId="0" fontId="20" fillId="0" borderId="0" xfId="2" applyFont="1" applyFill="1"/>
    <xf numFmtId="38" fontId="3" fillId="0" borderId="0" xfId="2" applyNumberFormat="1" applyFont="1" applyBorder="1"/>
    <xf numFmtId="38" fontId="20" fillId="0" borderId="27" xfId="2" applyNumberFormat="1" applyFont="1" applyBorder="1"/>
    <xf numFmtId="15" fontId="2" fillId="0" borderId="0" xfId="2" applyNumberFormat="1"/>
    <xf numFmtId="38" fontId="26" fillId="0" borderId="13" xfId="2" applyNumberFormat="1" applyFont="1" applyFill="1" applyBorder="1"/>
    <xf numFmtId="38" fontId="23" fillId="0" borderId="10" xfId="2" applyNumberFormat="1" applyFont="1" applyFill="1" applyBorder="1"/>
    <xf numFmtId="38" fontId="2" fillId="0" borderId="13" xfId="2" applyNumberFormat="1" applyFill="1" applyBorder="1"/>
    <xf numFmtId="38" fontId="20" fillId="0" borderId="0" xfId="2" applyNumberFormat="1" applyFont="1" applyFill="1"/>
    <xf numFmtId="38" fontId="18" fillId="0" borderId="2" xfId="2" applyNumberFormat="1" applyFont="1" applyFill="1" applyBorder="1"/>
    <xf numFmtId="38" fontId="27" fillId="0" borderId="2" xfId="2" applyNumberFormat="1" applyFont="1" applyFill="1" applyBorder="1"/>
    <xf numFmtId="38" fontId="6" fillId="0" borderId="2" xfId="2" applyNumberFormat="1" applyFont="1" applyBorder="1" applyAlignment="1">
      <alignment horizontal="center"/>
    </xf>
    <xf numFmtId="38" fontId="6" fillId="0" borderId="28" xfId="2" applyNumberFormat="1" applyFont="1" applyBorder="1" applyAlignment="1">
      <alignment horizontal="center"/>
    </xf>
    <xf numFmtId="38" fontId="19" fillId="0" borderId="0" xfId="2" applyNumberFormat="1" applyFont="1" applyFill="1" applyAlignment="1">
      <alignment horizontal="center"/>
    </xf>
    <xf numFmtId="38" fontId="10" fillId="4" borderId="0" xfId="2" applyNumberFormat="1" applyFont="1" applyFill="1" applyBorder="1" applyAlignment="1">
      <alignment horizontal="center"/>
    </xf>
    <xf numFmtId="38" fontId="19" fillId="6" borderId="0" xfId="2" applyNumberFormat="1" applyFont="1" applyFill="1" applyAlignment="1">
      <alignment horizontal="center"/>
    </xf>
    <xf numFmtId="0" fontId="2" fillId="0" borderId="0" xfId="2" applyAlignment="1"/>
    <xf numFmtId="38" fontId="26" fillId="0" borderId="13" xfId="2" applyNumberFormat="1" applyFont="1" applyBorder="1"/>
    <xf numFmtId="15" fontId="20" fillId="0" borderId="0" xfId="2" applyNumberFormat="1" applyFont="1"/>
    <xf numFmtId="38" fontId="5" fillId="0" borderId="0" xfId="2" applyNumberFormat="1" applyFont="1" applyBorder="1"/>
    <xf numFmtId="38" fontId="5" fillId="0" borderId="7" xfId="2" applyNumberFormat="1" applyFont="1" applyBorder="1"/>
    <xf numFmtId="0" fontId="3" fillId="0" borderId="38" xfId="2" applyFont="1" applyBorder="1"/>
    <xf numFmtId="0" fontId="2" fillId="0" borderId="32" xfId="2" applyBorder="1"/>
    <xf numFmtId="38" fontId="4" fillId="0" borderId="32" xfId="2" applyNumberFormat="1" applyFont="1" applyBorder="1" applyAlignment="1">
      <alignment horizontal="left" indent="1"/>
    </xf>
    <xf numFmtId="38" fontId="3" fillId="0" borderId="32" xfId="2" applyNumberFormat="1" applyFont="1" applyBorder="1" applyAlignment="1">
      <alignment horizontal="right"/>
    </xf>
    <xf numFmtId="38" fontId="3" fillId="0" borderId="34" xfId="2" applyNumberFormat="1" applyFont="1" applyBorder="1"/>
    <xf numFmtId="0" fontId="2" fillId="0" borderId="24" xfId="2" applyBorder="1"/>
    <xf numFmtId="0" fontId="2" fillId="0" borderId="0" xfId="2" applyBorder="1"/>
    <xf numFmtId="38" fontId="2" fillId="0" borderId="0" xfId="2" quotePrefix="1" applyNumberFormat="1" applyBorder="1" applyAlignment="1">
      <alignment horizontal="left" wrapText="1"/>
    </xf>
    <xf numFmtId="38" fontId="2" fillId="0" borderId="26" xfId="2" applyNumberFormat="1" applyBorder="1"/>
    <xf numFmtId="38" fontId="2" fillId="0" borderId="0" xfId="2" applyNumberFormat="1" applyBorder="1" applyAlignment="1">
      <alignment horizontal="left"/>
    </xf>
    <xf numFmtId="38" fontId="2" fillId="0" borderId="0" xfId="2" applyNumberFormat="1" applyBorder="1" applyAlignment="1">
      <alignment horizontal="left" wrapText="1"/>
    </xf>
    <xf numFmtId="38" fontId="2" fillId="0" borderId="24" xfId="2" applyNumberFormat="1" applyBorder="1"/>
    <xf numFmtId="38" fontId="2" fillId="0" borderId="37" xfId="2" applyNumberFormat="1" applyBorder="1"/>
    <xf numFmtId="38" fontId="2" fillId="0" borderId="0" xfId="2" applyNumberFormat="1" applyBorder="1" applyAlignment="1">
      <alignment wrapText="1"/>
    </xf>
    <xf numFmtId="38" fontId="3" fillId="0" borderId="26" xfId="2" applyNumberFormat="1" applyFont="1" applyBorder="1"/>
    <xf numFmtId="38" fontId="2" fillId="0" borderId="17" xfId="2" applyNumberFormat="1" applyBorder="1" applyAlignment="1">
      <alignment wrapText="1"/>
    </xf>
    <xf numFmtId="38" fontId="3" fillId="0" borderId="37" xfId="2" applyNumberFormat="1" applyFont="1" applyBorder="1"/>
    <xf numFmtId="0" fontId="2" fillId="0" borderId="35" xfId="2" applyBorder="1"/>
    <xf numFmtId="0" fontId="2" fillId="0" borderId="17" xfId="2" applyBorder="1"/>
    <xf numFmtId="0" fontId="20" fillId="0" borderId="21" xfId="2" applyFont="1" applyBorder="1"/>
    <xf numFmtId="15" fontId="20" fillId="0" borderId="7" xfId="2" applyNumberFormat="1" applyFont="1" applyBorder="1"/>
    <xf numFmtId="38" fontId="18" fillId="0" borderId="7" xfId="2" applyNumberFormat="1" applyFont="1" applyBorder="1" applyAlignment="1">
      <alignment horizontal="right"/>
    </xf>
    <xf numFmtId="0" fontId="20" fillId="0" borderId="15" xfId="2" applyFont="1" applyBorder="1"/>
    <xf numFmtId="15" fontId="20" fillId="0" borderId="0" xfId="2" applyNumberFormat="1" applyFont="1" applyBorder="1"/>
    <xf numFmtId="38" fontId="18" fillId="0" borderId="0" xfId="2" applyNumberFormat="1" applyFont="1" applyBorder="1" applyAlignment="1">
      <alignment horizontal="right"/>
    </xf>
    <xf numFmtId="0" fontId="20" fillId="0" borderId="20" xfId="2" applyFont="1" applyBorder="1"/>
    <xf numFmtId="38" fontId="22" fillId="0" borderId="6" xfId="2" applyNumberFormat="1" applyFont="1" applyBorder="1" applyAlignment="1">
      <alignment horizontal="left" indent="1"/>
    </xf>
    <xf numFmtId="38" fontId="22" fillId="0" borderId="12" xfId="2" applyNumberFormat="1" applyFont="1" applyBorder="1" applyAlignment="1">
      <alignment horizontal="left" indent="1"/>
    </xf>
    <xf numFmtId="38" fontId="24" fillId="0" borderId="12" xfId="2" applyNumberFormat="1" applyFont="1" applyBorder="1" applyAlignment="1">
      <alignment horizontal="right" indent="1"/>
    </xf>
    <xf numFmtId="38" fontId="18" fillId="0" borderId="12" xfId="2" applyNumberFormat="1" applyFont="1" applyBorder="1" applyAlignment="1">
      <alignment horizontal="left" indent="1"/>
    </xf>
    <xf numFmtId="38" fontId="24" fillId="0" borderId="1" xfId="2" applyNumberFormat="1" applyFont="1" applyBorder="1" applyAlignment="1">
      <alignment horizontal="right" indent="1"/>
    </xf>
    <xf numFmtId="38" fontId="28" fillId="0" borderId="0" xfId="2" applyNumberFormat="1" applyFont="1" applyAlignment="1">
      <alignment horizontal="right"/>
    </xf>
    <xf numFmtId="38" fontId="28" fillId="0" borderId="0" xfId="2" applyNumberFormat="1" applyFont="1" applyAlignment="1">
      <alignment horizontal="left"/>
    </xf>
    <xf numFmtId="10" fontId="28" fillId="0" borderId="0" xfId="1" applyNumberFormat="1" applyFont="1" applyAlignment="1">
      <alignment horizontal="right"/>
    </xf>
    <xf numFmtId="38" fontId="28" fillId="0" borderId="0" xfId="2" applyNumberFormat="1" applyFont="1" applyAlignment="1">
      <alignment horizontal="left" indent="1"/>
    </xf>
    <xf numFmtId="15" fontId="20" fillId="0" borderId="0" xfId="2" applyNumberFormat="1" applyFont="1" applyFill="1" applyBorder="1"/>
    <xf numFmtId="15" fontId="20" fillId="0" borderId="2" xfId="2" applyNumberFormat="1" applyFont="1" applyFill="1" applyBorder="1"/>
    <xf numFmtId="0" fontId="24" fillId="0" borderId="12" xfId="2" applyFont="1" applyBorder="1" applyAlignment="1">
      <alignment horizontal="right"/>
    </xf>
    <xf numFmtId="38" fontId="18" fillId="0" borderId="0" xfId="2" applyNumberFormat="1" applyFont="1" applyBorder="1" applyAlignment="1">
      <alignment horizontal="left" indent="1"/>
    </xf>
    <xf numFmtId="38" fontId="20" fillId="0" borderId="12" xfId="2" applyNumberFormat="1" applyFont="1" applyBorder="1" applyAlignment="1">
      <alignment horizontal="right"/>
    </xf>
    <xf numFmtId="38" fontId="18" fillId="0" borderId="8" xfId="2" applyNumberFormat="1" applyFont="1" applyBorder="1" applyAlignment="1">
      <alignment horizontal="center"/>
    </xf>
    <xf numFmtId="38" fontId="6" fillId="0" borderId="2" xfId="2" applyNumberFormat="1" applyFont="1" applyBorder="1" applyAlignment="1">
      <alignment horizontal="center" wrapText="1"/>
    </xf>
    <xf numFmtId="38" fontId="18" fillId="0" borderId="2" xfId="2" applyNumberFormat="1" applyFont="1" applyBorder="1" applyAlignment="1">
      <alignment horizontal="center" wrapText="1"/>
    </xf>
    <xf numFmtId="38" fontId="2" fillId="0" borderId="7" xfId="2" applyNumberFormat="1" applyFill="1" applyBorder="1"/>
    <xf numFmtId="38" fontId="2" fillId="0" borderId="0" xfId="2" applyNumberFormat="1" applyFill="1" applyBorder="1"/>
    <xf numFmtId="38" fontId="2" fillId="0" borderId="7" xfId="2" applyNumberFormat="1" applyBorder="1"/>
    <xf numFmtId="38" fontId="20" fillId="0" borderId="8" xfId="2" applyNumberFormat="1" applyFont="1" applyFill="1" applyBorder="1"/>
    <xf numFmtId="38" fontId="20" fillId="0" borderId="10" xfId="2" applyNumberFormat="1" applyFont="1" applyFill="1" applyBorder="1"/>
    <xf numFmtId="38" fontId="6" fillId="0" borderId="10" xfId="2" applyNumberFormat="1" applyFont="1" applyBorder="1" applyAlignment="1">
      <alignment horizontal="center" wrapText="1"/>
    </xf>
    <xf numFmtId="38" fontId="20" fillId="0" borderId="18" xfId="2" applyNumberFormat="1" applyFont="1" applyFill="1" applyBorder="1"/>
    <xf numFmtId="38" fontId="18" fillId="0" borderId="10" xfId="2" applyNumberFormat="1" applyFont="1" applyBorder="1" applyAlignment="1">
      <alignment horizontal="center"/>
    </xf>
    <xf numFmtId="38" fontId="20" fillId="0" borderId="13" xfId="2" quotePrefix="1" applyNumberFormat="1" applyFont="1" applyBorder="1"/>
    <xf numFmtId="38" fontId="20" fillId="0" borderId="13" xfId="2" applyNumberFormat="1" applyFont="1" applyBorder="1" applyAlignment="1">
      <alignment horizontal="left"/>
    </xf>
    <xf numFmtId="38" fontId="18" fillId="0" borderId="10" xfId="2" applyNumberFormat="1" applyFont="1" applyBorder="1"/>
    <xf numFmtId="38" fontId="20" fillId="0" borderId="13" xfId="2" applyNumberFormat="1" applyFont="1" applyFill="1" applyBorder="1" applyAlignment="1">
      <alignment horizontal="right"/>
    </xf>
    <xf numFmtId="38" fontId="20" fillId="0" borderId="13" xfId="2" quotePrefix="1" applyNumberFormat="1" applyFont="1" applyFill="1" applyBorder="1"/>
    <xf numFmtId="38" fontId="27" fillId="0" borderId="10" xfId="2" applyNumberFormat="1" applyFont="1" applyFill="1" applyBorder="1"/>
    <xf numFmtId="14" fontId="18" fillId="0" borderId="13" xfId="2" applyNumberFormat="1" applyFont="1" applyBorder="1" applyAlignment="1">
      <alignment horizontal="center"/>
    </xf>
    <xf numFmtId="38" fontId="21" fillId="0" borderId="10" xfId="2" applyNumberFormat="1" applyFont="1" applyBorder="1"/>
    <xf numFmtId="38" fontId="22" fillId="0" borderId="13" xfId="2" applyNumberFormat="1" applyFont="1" applyBorder="1"/>
    <xf numFmtId="38" fontId="20" fillId="0" borderId="13" xfId="2" applyNumberFormat="1" applyFont="1" applyBorder="1" applyAlignment="1">
      <alignment horizontal="center"/>
    </xf>
    <xf numFmtId="38" fontId="18" fillId="0" borderId="0" xfId="2" applyNumberFormat="1" applyFont="1" applyBorder="1"/>
    <xf numFmtId="38" fontId="18" fillId="3" borderId="4" xfId="2" applyNumberFormat="1" applyFont="1" applyFill="1" applyBorder="1"/>
    <xf numFmtId="38" fontId="18" fillId="2" borderId="13" xfId="2" applyNumberFormat="1" applyFont="1" applyFill="1" applyBorder="1"/>
    <xf numFmtId="38" fontId="20" fillId="0" borderId="41" xfId="2" applyNumberFormat="1" applyFont="1" applyBorder="1"/>
    <xf numFmtId="38" fontId="20" fillId="0" borderId="41" xfId="2" applyNumberFormat="1" applyFont="1" applyFill="1" applyBorder="1"/>
    <xf numFmtId="38" fontId="18" fillId="0" borderId="41" xfId="2" applyNumberFormat="1" applyFont="1" applyBorder="1" applyAlignment="1">
      <alignment horizontal="center"/>
    </xf>
    <xf numFmtId="0" fontId="3" fillId="0" borderId="31" xfId="2" applyFont="1" applyBorder="1"/>
    <xf numFmtId="15" fontId="3" fillId="0" borderId="32" xfId="2" applyNumberFormat="1" applyFont="1" applyBorder="1"/>
    <xf numFmtId="38" fontId="20" fillId="0" borderId="0" xfId="2" applyNumberFormat="1" applyFont="1" applyBorder="1" applyAlignment="1">
      <alignment horizontal="right"/>
    </xf>
    <xf numFmtId="38" fontId="28" fillId="0" borderId="0" xfId="2" applyNumberFormat="1" applyFont="1" applyBorder="1" applyAlignment="1">
      <alignment horizontal="right"/>
    </xf>
    <xf numFmtId="38" fontId="20" fillId="0" borderId="2" xfId="2" applyNumberFormat="1" applyFont="1" applyBorder="1" applyAlignment="1">
      <alignment horizontal="right"/>
    </xf>
    <xf numFmtId="38" fontId="20" fillId="0" borderId="21" xfId="2" applyNumberFormat="1" applyFont="1" applyBorder="1" applyAlignment="1">
      <alignment horizontal="right"/>
    </xf>
    <xf numFmtId="38" fontId="5" fillId="0" borderId="1" xfId="2" applyNumberFormat="1" applyFont="1" applyBorder="1" applyAlignment="1">
      <alignment horizontal="center" wrapText="1"/>
    </xf>
    <xf numFmtId="0" fontId="20" fillId="0" borderId="12" xfId="2" applyFont="1" applyBorder="1"/>
    <xf numFmtId="38" fontId="20" fillId="0" borderId="11" xfId="2" applyNumberFormat="1" applyFont="1" applyBorder="1" applyAlignment="1">
      <alignment horizontal="right"/>
    </xf>
    <xf numFmtId="3" fontId="20" fillId="0" borderId="11" xfId="2" applyNumberFormat="1" applyFont="1" applyBorder="1" applyAlignment="1"/>
    <xf numFmtId="38" fontId="20" fillId="0" borderId="14" xfId="2" applyNumberFormat="1" applyFont="1" applyBorder="1" applyAlignment="1">
      <alignment horizontal="right"/>
    </xf>
    <xf numFmtId="38" fontId="20" fillId="0" borderId="12" xfId="2" applyNumberFormat="1" applyFont="1" applyBorder="1" applyAlignment="1">
      <alignment horizontal="right" wrapText="1"/>
    </xf>
    <xf numFmtId="0" fontId="14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/>
    </xf>
    <xf numFmtId="0" fontId="2" fillId="8" borderId="42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5" xfId="0" applyFont="1" applyBorder="1" applyAlignment="1">
      <alignment horizontal="left" indent="1"/>
    </xf>
    <xf numFmtId="0" fontId="2" fillId="8" borderId="42" xfId="0" applyFont="1" applyFill="1" applyBorder="1"/>
    <xf numFmtId="0" fontId="2" fillId="0" borderId="47" xfId="0" applyFont="1" applyBorder="1" applyAlignment="1">
      <alignment horizontal="left" indent="1"/>
    </xf>
    <xf numFmtId="0" fontId="2" fillId="0" borderId="48" xfId="0" applyFont="1" applyBorder="1" applyAlignment="1">
      <alignment horizontal="left" indent="1"/>
    </xf>
    <xf numFmtId="0" fontId="2" fillId="0" borderId="38" xfId="0" applyFont="1" applyBorder="1" applyAlignment="1">
      <alignment horizontal="left" indent="1"/>
    </xf>
    <xf numFmtId="0" fontId="3" fillId="0" borderId="47" xfId="0" applyFont="1" applyBorder="1" applyAlignment="1">
      <alignment horizontal="left"/>
    </xf>
    <xf numFmtId="49" fontId="2" fillId="0" borderId="49" xfId="0" applyNumberFormat="1" applyFont="1" applyBorder="1" applyAlignment="1">
      <alignment horizontal="left" indent="1"/>
    </xf>
    <xf numFmtId="0" fontId="3" fillId="0" borderId="51" xfId="0" applyFont="1" applyBorder="1" applyAlignment="1">
      <alignment horizontal="left"/>
    </xf>
    <xf numFmtId="0" fontId="2" fillId="8" borderId="49" xfId="0" applyFont="1" applyFill="1" applyBorder="1"/>
    <xf numFmtId="0" fontId="2" fillId="0" borderId="51" xfId="0" applyFont="1" applyBorder="1" applyAlignment="1">
      <alignment horizontal="left" indent="1"/>
    </xf>
    <xf numFmtId="0" fontId="2" fillId="9" borderId="51" xfId="0" applyFont="1" applyFill="1" applyBorder="1" applyAlignment="1">
      <alignment horizontal="left" indent="1"/>
    </xf>
    <xf numFmtId="0" fontId="2" fillId="8" borderId="55" xfId="0" applyFont="1" applyFill="1" applyBorder="1"/>
    <xf numFmtId="49" fontId="2" fillId="0" borderId="56" xfId="0" applyNumberFormat="1" applyFont="1" applyBorder="1" applyAlignment="1">
      <alignment horizontal="left" indent="1"/>
    </xf>
    <xf numFmtId="0" fontId="2" fillId="0" borderId="54" xfId="0" applyFont="1" applyBorder="1" applyAlignment="1">
      <alignment horizontal="left" indent="1"/>
    </xf>
    <xf numFmtId="49" fontId="3" fillId="8" borderId="38" xfId="0" applyNumberFormat="1" applyFont="1" applyFill="1" applyBorder="1" applyAlignment="1">
      <alignment horizontal="left"/>
    </xf>
    <xf numFmtId="0" fontId="2" fillId="0" borderId="38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2" fillId="8" borderId="30" xfId="0" applyFont="1" applyFill="1" applyBorder="1" applyAlignment="1">
      <alignment horizontal="center" wrapText="1"/>
    </xf>
    <xf numFmtId="38" fontId="2" fillId="8" borderId="42" xfId="0" applyNumberFormat="1" applyFont="1" applyFill="1" applyBorder="1"/>
    <xf numFmtId="166" fontId="2" fillId="8" borderId="38" xfId="4" applyNumberFormat="1" applyFont="1" applyFill="1" applyBorder="1"/>
    <xf numFmtId="38" fontId="2" fillId="8" borderId="38" xfId="0" applyNumberFormat="1" applyFont="1" applyFill="1" applyBorder="1"/>
    <xf numFmtId="38" fontId="2" fillId="0" borderId="42" xfId="0" applyNumberFormat="1" applyFont="1" applyFill="1" applyBorder="1"/>
    <xf numFmtId="166" fontId="2" fillId="0" borderId="42" xfId="4" applyNumberFormat="1" applyFont="1" applyFill="1" applyBorder="1"/>
    <xf numFmtId="0" fontId="3" fillId="0" borderId="38" xfId="0" applyFont="1" applyBorder="1" applyAlignment="1">
      <alignment horizontal="left" indent="1"/>
    </xf>
    <xf numFmtId="0" fontId="2" fillId="0" borderId="36" xfId="0" applyFont="1" applyFill="1" applyBorder="1" applyAlignment="1">
      <alignment horizontal="left" indent="1"/>
    </xf>
    <xf numFmtId="166" fontId="2" fillId="8" borderId="33" xfId="4" applyNumberFormat="1" applyFont="1" applyFill="1" applyBorder="1"/>
    <xf numFmtId="166" fontId="2" fillId="8" borderId="25" xfId="4" applyNumberFormat="1" applyFont="1" applyFill="1" applyBorder="1"/>
    <xf numFmtId="0" fontId="14" fillId="0" borderId="44" xfId="0" applyFont="1" applyFill="1" applyBorder="1" applyAlignment="1">
      <alignment horizontal="center"/>
    </xf>
    <xf numFmtId="38" fontId="2" fillId="0" borderId="46" xfId="0" applyNumberFormat="1" applyFont="1" applyFill="1" applyBorder="1"/>
    <xf numFmtId="38" fontId="2" fillId="0" borderId="54" xfId="0" applyNumberFormat="1" applyFont="1" applyFill="1" applyBorder="1"/>
    <xf numFmtId="38" fontId="2" fillId="0" borderId="26" xfId="0" applyNumberFormat="1" applyFont="1" applyFill="1" applyBorder="1"/>
    <xf numFmtId="0" fontId="2" fillId="0" borderId="57" xfId="0" applyFont="1" applyFill="1" applyBorder="1"/>
    <xf numFmtId="38" fontId="2" fillId="0" borderId="58" xfId="0" applyNumberFormat="1" applyFont="1" applyFill="1" applyBorder="1"/>
    <xf numFmtId="38" fontId="2" fillId="0" borderId="30" xfId="0" applyNumberFormat="1" applyFont="1" applyFill="1" applyBorder="1"/>
    <xf numFmtId="0" fontId="2" fillId="0" borderId="44" xfId="0" applyFont="1" applyFill="1" applyBorder="1"/>
    <xf numFmtId="38" fontId="2" fillId="0" borderId="34" xfId="0" applyNumberFormat="1" applyFont="1" applyFill="1" applyBorder="1"/>
    <xf numFmtId="38" fontId="2" fillId="0" borderId="44" xfId="0" applyNumberFormat="1" applyFont="1" applyFill="1" applyBorder="1"/>
    <xf numFmtId="38" fontId="2" fillId="0" borderId="36" xfId="0" applyNumberFormat="1" applyFont="1" applyFill="1" applyBorder="1"/>
    <xf numFmtId="38" fontId="2" fillId="0" borderId="33" xfId="0" applyNumberFormat="1" applyFont="1" applyFill="1" applyBorder="1"/>
    <xf numFmtId="38" fontId="2" fillId="0" borderId="25" xfId="0" applyNumberFormat="1" applyFont="1" applyFill="1" applyBorder="1"/>
    <xf numFmtId="166" fontId="2" fillId="0" borderId="36" xfId="4" applyNumberFormat="1" applyFont="1" applyFill="1" applyBorder="1"/>
    <xf numFmtId="0" fontId="0" fillId="0" borderId="0" xfId="0" applyFill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2" fillId="0" borderId="40" xfId="0" applyFont="1" applyFill="1" applyBorder="1" applyAlignment="1">
      <alignment horizontal="center" vertical="center" wrapText="1"/>
    </xf>
    <xf numFmtId="0" fontId="2" fillId="10" borderId="30" xfId="0" applyFont="1" applyFill="1" applyBorder="1" applyAlignment="1">
      <alignment horizontal="center" wrapText="1"/>
    </xf>
    <xf numFmtId="0" fontId="2" fillId="10" borderId="43" xfId="0" applyFont="1" applyFill="1" applyBorder="1" applyAlignment="1">
      <alignment horizontal="center"/>
    </xf>
    <xf numFmtId="38" fontId="2" fillId="10" borderId="43" xfId="0" applyNumberFormat="1" applyFont="1" applyFill="1" applyBorder="1"/>
    <xf numFmtId="166" fontId="2" fillId="10" borderId="30" xfId="4" applyNumberFormat="1" applyFont="1" applyFill="1" applyBorder="1"/>
    <xf numFmtId="0" fontId="2" fillId="10" borderId="25" xfId="0" applyFont="1" applyFill="1" applyBorder="1"/>
    <xf numFmtId="38" fontId="2" fillId="10" borderId="50" xfId="0" applyNumberFormat="1" applyFont="1" applyFill="1" applyBorder="1"/>
    <xf numFmtId="0" fontId="2" fillId="10" borderId="52" xfId="0" applyFont="1" applyFill="1" applyBorder="1"/>
    <xf numFmtId="38" fontId="2" fillId="10" borderId="25" xfId="0" applyNumberFormat="1" applyFont="1" applyFill="1" applyBorder="1"/>
    <xf numFmtId="0" fontId="2" fillId="10" borderId="43" xfId="0" applyFont="1" applyFill="1" applyBorder="1"/>
    <xf numFmtId="166" fontId="2" fillId="10" borderId="45" xfId="4" applyNumberFormat="1" applyFont="1" applyFill="1" applyBorder="1"/>
    <xf numFmtId="0" fontId="2" fillId="10" borderId="53" xfId="0" applyFont="1" applyFill="1" applyBorder="1"/>
    <xf numFmtId="0" fontId="2" fillId="10" borderId="45" xfId="0" applyFont="1" applyFill="1" applyBorder="1"/>
    <xf numFmtId="166" fontId="2" fillId="10" borderId="38" xfId="4" applyNumberFormat="1" applyFont="1" applyFill="1" applyBorder="1"/>
    <xf numFmtId="38" fontId="2" fillId="10" borderId="38" xfId="0" applyNumberFormat="1" applyFont="1" applyFill="1" applyBorder="1"/>
    <xf numFmtId="166" fontId="3" fillId="10" borderId="30" xfId="4" applyNumberFormat="1" applyFont="1" applyFill="1" applyBorder="1"/>
    <xf numFmtId="166" fontId="3" fillId="10" borderId="39" xfId="4" applyNumberFormat="1" applyFont="1" applyFill="1" applyBorder="1" applyAlignment="1">
      <alignment vertical="center" wrapText="1"/>
    </xf>
    <xf numFmtId="166" fontId="3" fillId="0" borderId="30" xfId="4" applyNumberFormat="1" applyFont="1" applyBorder="1" applyAlignment="1">
      <alignment vertical="center" wrapText="1"/>
    </xf>
    <xf numFmtId="0" fontId="0" fillId="0" borderId="30" xfId="0" applyBorder="1"/>
    <xf numFmtId="166" fontId="2" fillId="10" borderId="26" xfId="4" applyNumberFormat="1" applyFont="1" applyFill="1" applyBorder="1" applyAlignment="1">
      <alignment horizontal="right"/>
    </xf>
    <xf numFmtId="166" fontId="2" fillId="10" borderId="17" xfId="4" applyNumberFormat="1" applyFont="1" applyFill="1" applyBorder="1" applyAlignment="1">
      <alignment horizontal="right"/>
    </xf>
    <xf numFmtId="166" fontId="3" fillId="8" borderId="36" xfId="4" applyNumberFormat="1" applyFont="1" applyFill="1" applyBorder="1"/>
    <xf numFmtId="0" fontId="2" fillId="0" borderId="33" xfId="0" applyFont="1" applyBorder="1" applyAlignment="1">
      <alignment horizontal="left" indent="1"/>
    </xf>
    <xf numFmtId="0" fontId="2" fillId="0" borderId="25" xfId="0" applyFont="1" applyBorder="1" applyAlignment="1">
      <alignment horizontal="left" indent="1"/>
    </xf>
    <xf numFmtId="0" fontId="2" fillId="0" borderId="25" xfId="0" applyFont="1" applyFill="1" applyBorder="1" applyAlignment="1">
      <alignment horizontal="left" indent="1"/>
    </xf>
    <xf numFmtId="0" fontId="2" fillId="0" borderId="51" xfId="0" applyFont="1" applyFill="1" applyBorder="1" applyAlignment="1">
      <alignment horizontal="left" indent="1"/>
    </xf>
    <xf numFmtId="38" fontId="2" fillId="7" borderId="19" xfId="2" applyNumberFormat="1" applyFill="1" applyBorder="1"/>
    <xf numFmtId="38" fontId="2" fillId="7" borderId="14" xfId="2" applyNumberFormat="1" applyFill="1" applyBorder="1"/>
    <xf numFmtId="38" fontId="18" fillId="0" borderId="14" xfId="2" applyNumberFormat="1" applyFont="1" applyBorder="1" applyAlignment="1">
      <alignment horizontal="center"/>
    </xf>
    <xf numFmtId="38" fontId="18" fillId="0" borderId="1" xfId="2" applyNumberFormat="1" applyFont="1" applyBorder="1" applyAlignment="1">
      <alignment horizontal="right"/>
    </xf>
    <xf numFmtId="0" fontId="2" fillId="0" borderId="0" xfId="2" applyBorder="1" applyAlignment="1">
      <alignment horizontal="left" indent="1"/>
    </xf>
    <xf numFmtId="38" fontId="25" fillId="7" borderId="9" xfId="2" applyNumberFormat="1" applyFont="1" applyFill="1" applyBorder="1" applyAlignment="1">
      <alignment horizontal="center"/>
    </xf>
    <xf numFmtId="38" fontId="25" fillId="7" borderId="14" xfId="2" applyNumberFormat="1" applyFont="1" applyFill="1" applyBorder="1" applyAlignment="1">
      <alignment horizontal="center"/>
    </xf>
    <xf numFmtId="38" fontId="2" fillId="7" borderId="11" xfId="2" applyNumberFormat="1" applyFill="1" applyBorder="1"/>
    <xf numFmtId="38" fontId="2" fillId="7" borderId="11" xfId="2" applyNumberFormat="1" applyFont="1" applyFill="1" applyBorder="1"/>
    <xf numFmtId="38" fontId="2" fillId="7" borderId="9" xfId="2" applyNumberFormat="1" applyFill="1" applyBorder="1"/>
    <xf numFmtId="38" fontId="13" fillId="7" borderId="11" xfId="2" applyNumberFormat="1" applyFont="1" applyFill="1" applyBorder="1"/>
    <xf numFmtId="38" fontId="3" fillId="5" borderId="14" xfId="2" applyNumberFormat="1" applyFont="1" applyFill="1" applyBorder="1"/>
    <xf numFmtId="38" fontId="2" fillId="0" borderId="0" xfId="2" applyNumberFormat="1" applyFont="1"/>
    <xf numFmtId="38" fontId="22" fillId="0" borderId="0" xfId="2" applyNumberFormat="1" applyFont="1" applyBorder="1" applyAlignment="1">
      <alignment horizontal="right"/>
    </xf>
    <xf numFmtId="38" fontId="29" fillId="0" borderId="0" xfId="2" applyNumberFormat="1" applyFont="1" applyAlignment="1">
      <alignment horizontal="right"/>
    </xf>
    <xf numFmtId="38" fontId="18" fillId="0" borderId="17" xfId="2" applyNumberFormat="1" applyFont="1" applyBorder="1" applyAlignment="1">
      <alignment horizontal="right"/>
    </xf>
    <xf numFmtId="166" fontId="2" fillId="8" borderId="59" xfId="4" applyNumberFormat="1" applyFont="1" applyFill="1" applyBorder="1"/>
    <xf numFmtId="166" fontId="2" fillId="8" borderId="60" xfId="4" applyNumberFormat="1" applyFont="1" applyFill="1" applyBorder="1"/>
    <xf numFmtId="166" fontId="2" fillId="8" borderId="61" xfId="4" applyNumberFormat="1" applyFont="1" applyFill="1" applyBorder="1"/>
    <xf numFmtId="166" fontId="2" fillId="10" borderId="62" xfId="4" applyNumberFormat="1" applyFont="1" applyFill="1" applyBorder="1" applyAlignment="1">
      <alignment horizontal="right"/>
    </xf>
    <xf numFmtId="166" fontId="2" fillId="10" borderId="60" xfId="4" applyNumberFormat="1" applyFont="1" applyFill="1" applyBorder="1" applyAlignment="1">
      <alignment horizontal="right"/>
    </xf>
    <xf numFmtId="38" fontId="30" fillId="0" borderId="30" xfId="0" applyNumberFormat="1" applyFont="1" applyBorder="1" applyAlignment="1">
      <alignment vertical="center" wrapText="1"/>
    </xf>
    <xf numFmtId="38" fontId="30" fillId="10" borderId="39" xfId="0" applyNumberFormat="1" applyFont="1" applyFill="1" applyBorder="1" applyAlignment="1">
      <alignment vertical="center" wrapText="1"/>
    </xf>
    <xf numFmtId="0" fontId="2" fillId="0" borderId="24" xfId="2" applyFill="1" applyBorder="1"/>
    <xf numFmtId="38" fontId="2" fillId="0" borderId="24" xfId="2" applyNumberFormat="1" applyFill="1" applyBorder="1"/>
    <xf numFmtId="38" fontId="18" fillId="0" borderId="21" xfId="2" applyNumberFormat="1" applyFont="1" applyBorder="1" applyAlignment="1">
      <alignment horizontal="center" wrapText="1"/>
    </xf>
    <xf numFmtId="38" fontId="18" fillId="0" borderId="6" xfId="2" applyNumberFormat="1" applyFont="1" applyBorder="1" applyAlignment="1">
      <alignment horizontal="center" wrapText="1"/>
    </xf>
    <xf numFmtId="0" fontId="20" fillId="0" borderId="15" xfId="2" applyFont="1" applyBorder="1" applyAlignment="1">
      <alignment horizontal="left" vertical="center"/>
    </xf>
    <xf numFmtId="0" fontId="20" fillId="0" borderId="0" xfId="2" applyFont="1" applyBorder="1" applyAlignment="1">
      <alignment horizontal="center" vertical="center"/>
    </xf>
    <xf numFmtId="14" fontId="5" fillId="0" borderId="13" xfId="2" applyNumberFormat="1" applyFont="1" applyBorder="1" applyAlignment="1">
      <alignment horizontal="left" wrapText="1"/>
    </xf>
    <xf numFmtId="38" fontId="10" fillId="4" borderId="7" xfId="2" applyNumberFormat="1" applyFont="1" applyFill="1" applyBorder="1" applyAlignment="1">
      <alignment horizontal="center"/>
    </xf>
    <xf numFmtId="38" fontId="10" fillId="4" borderId="6" xfId="2" applyNumberFormat="1" applyFont="1" applyFill="1" applyBorder="1" applyAlignment="1">
      <alignment horizontal="center"/>
    </xf>
    <xf numFmtId="38" fontId="10" fillId="4" borderId="2" xfId="2" applyNumberFormat="1" applyFont="1" applyFill="1" applyBorder="1" applyAlignment="1">
      <alignment horizontal="center"/>
    </xf>
    <xf numFmtId="38" fontId="10" fillId="4" borderId="1" xfId="2" applyNumberFormat="1" applyFont="1" applyFill="1" applyBorder="1" applyAlignment="1">
      <alignment horizontal="center"/>
    </xf>
    <xf numFmtId="38" fontId="18" fillId="0" borderId="7" xfId="2" applyNumberFormat="1" applyFont="1" applyBorder="1" applyAlignment="1">
      <alignment horizontal="center"/>
    </xf>
    <xf numFmtId="38" fontId="18" fillId="0" borderId="41" xfId="2" applyNumberFormat="1" applyFont="1" applyBorder="1" applyAlignment="1">
      <alignment horizontal="center"/>
    </xf>
    <xf numFmtId="38" fontId="3" fillId="0" borderId="21" xfId="2" applyNumberFormat="1" applyFont="1" applyBorder="1" applyAlignment="1">
      <alignment horizontal="center"/>
    </xf>
    <xf numFmtId="38" fontId="3" fillId="0" borderId="6" xfId="2" applyNumberFormat="1" applyFont="1" applyBorder="1" applyAlignment="1">
      <alignment horizontal="center"/>
    </xf>
    <xf numFmtId="0" fontId="10" fillId="8" borderId="38" xfId="0" applyFont="1" applyFill="1" applyBorder="1" applyAlignment="1">
      <alignment horizontal="center" vertical="center"/>
    </xf>
    <xf numFmtId="0" fontId="10" fillId="8" borderId="39" xfId="0" applyFont="1" applyFill="1" applyBorder="1" applyAlignment="1">
      <alignment horizontal="center" vertical="center"/>
    </xf>
    <xf numFmtId="0" fontId="10" fillId="8" borderId="40" xfId="0" applyFont="1" applyFill="1" applyBorder="1" applyAlignment="1">
      <alignment horizontal="center" vertical="center"/>
    </xf>
    <xf numFmtId="38" fontId="6" fillId="4" borderId="20" xfId="2" applyNumberFormat="1" applyFont="1" applyFill="1" applyBorder="1" applyAlignment="1">
      <alignment horizontal="center" wrapText="1"/>
    </xf>
    <xf numFmtId="38" fontId="6" fillId="4" borderId="2" xfId="2" applyNumberFormat="1" applyFont="1" applyFill="1" applyBorder="1" applyAlignment="1">
      <alignment horizontal="center"/>
    </xf>
  </cellXfs>
  <cellStyles count="5">
    <cellStyle name="Comma" xfId="4" builtinId="3"/>
    <cellStyle name="Normal" xfId="0" builtinId="0"/>
    <cellStyle name="Normal 2" xfId="2" xr:uid="{C8138426-03DF-4A0E-BC74-03A0E3F71574}"/>
    <cellStyle name="Percent" xfId="1" builtinId="5"/>
    <cellStyle name="Percent 2" xfId="3" xr:uid="{351B9195-B681-4C8D-953E-E9FED797F348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/JFOSHARE/CRUPE/Chloe%20to%20Chris%20-%20Trans/Budget%20-%20T2020/Copy%20of%20FY21%20TBill%20H-942%20Aug%20BAA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crupe/AppData/Local/Microsoft/Windows/INetCache/Content.Outlook/YR6D6RCL/AOT%20FY22Govrec%20vs%20PriorFYs_HTC_Billref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/JFOSHARE/CRUPE/AOT%20FY22%20Budget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Do"/>
      <sheetName val="Rev"/>
      <sheetName val="As Passed"/>
      <sheetName val="Sources Jan"/>
      <sheetName val="Aug BAA"/>
      <sheetName val="Sources Aug"/>
      <sheetName val="Cuts"/>
      <sheetName val="Spend"/>
      <sheetName val="Prog Dev"/>
      <sheetName val="Big Bill"/>
      <sheetName val="Rec"/>
      <sheetName val="State$"/>
      <sheetName val="Summary"/>
    </sheetNames>
    <sheetDataSet>
      <sheetData sheetId="0"/>
      <sheetData sheetId="1"/>
      <sheetData sheetId="2"/>
      <sheetData sheetId="3"/>
      <sheetData sheetId="4">
        <row r="18">
          <cell r="D1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2 GOVREC All Funds w HTC rec"/>
      <sheetName val="FY22 HTC Proposal"/>
      <sheetName val="FY22 GOVREC All Funds"/>
      <sheetName val="FY22 GOVREC VS. PRIOR YRS"/>
      <sheetName val="FY22Govrec changes by category"/>
      <sheetName val="FY21 As Passed"/>
      <sheetName val="FY20 As Passed"/>
      <sheetName val="FY19 As Passed"/>
      <sheetName val="Federal Comp Fy22vPrior"/>
      <sheetName val="TF Comp Fy22vPrior"/>
      <sheetName val="TIB Comp FY22vPri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B8">
            <v>31360732</v>
          </cell>
        </row>
        <row r="10">
          <cell r="B10">
            <v>14655914</v>
          </cell>
        </row>
        <row r="13">
          <cell r="B13">
            <v>104199583</v>
          </cell>
        </row>
        <row r="14">
          <cell r="B14">
            <v>24543000</v>
          </cell>
        </row>
        <row r="15">
          <cell r="B15">
            <v>57636326</v>
          </cell>
        </row>
        <row r="16">
          <cell r="B16">
            <v>51972218</v>
          </cell>
        </row>
        <row r="17">
          <cell r="B17">
            <v>21515547</v>
          </cell>
        </row>
        <row r="18">
          <cell r="B18">
            <v>3807556</v>
          </cell>
        </row>
        <row r="19">
          <cell r="B19">
            <v>10866048</v>
          </cell>
        </row>
        <row r="20">
          <cell r="B20">
            <v>3600875</v>
          </cell>
        </row>
        <row r="21">
          <cell r="B21">
            <v>0</v>
          </cell>
        </row>
        <row r="22">
          <cell r="B22">
            <v>22748320</v>
          </cell>
        </row>
        <row r="30">
          <cell r="B30">
            <v>744802</v>
          </cell>
        </row>
        <row r="32">
          <cell r="B32">
            <v>11086484</v>
          </cell>
        </row>
        <row r="34">
          <cell r="B34">
            <v>87896279</v>
          </cell>
        </row>
        <row r="36">
          <cell r="B36">
            <v>29020229</v>
          </cell>
        </row>
        <row r="38">
          <cell r="B38">
            <v>13799763</v>
          </cell>
        </row>
        <row r="40">
          <cell r="B40">
            <v>29599051</v>
          </cell>
        </row>
        <row r="42">
          <cell r="B42">
            <v>20684524</v>
          </cell>
        </row>
        <row r="44">
          <cell r="B44">
            <v>1578050</v>
          </cell>
        </row>
        <row r="48">
          <cell r="B48">
            <v>13324994</v>
          </cell>
        </row>
        <row r="50">
          <cell r="B50">
            <v>6333500</v>
          </cell>
        </row>
        <row r="52">
          <cell r="B52">
            <v>7648750</v>
          </cell>
        </row>
        <row r="54">
          <cell r="B54">
            <v>1150000</v>
          </cell>
        </row>
        <row r="56">
          <cell r="B56">
            <v>180000</v>
          </cell>
        </row>
        <row r="58">
          <cell r="B58">
            <v>25982744</v>
          </cell>
        </row>
        <row r="60">
          <cell r="B60">
            <v>128750</v>
          </cell>
        </row>
        <row r="62">
          <cell r="B62">
            <v>403714</v>
          </cell>
        </row>
        <row r="64">
          <cell r="B64">
            <v>9082342</v>
          </cell>
        </row>
        <row r="66">
          <cell r="B66">
            <v>5059457</v>
          </cell>
        </row>
        <row r="70">
          <cell r="B70">
            <v>271543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2 GOVREC All Funds"/>
      <sheetName val="Total Comp Fy21v22"/>
      <sheetName val="Federal Comp Fy22v21"/>
      <sheetName val="TF Comp Fy22v21"/>
      <sheetName val="TIB Comp FY22v21"/>
      <sheetName val="Other State NonTF Comp FY22v21"/>
      <sheetName val="FY22 vs 21 Out Years"/>
      <sheetName val="FY21 Post BAA"/>
      <sheetName val="FY21 Gov Restated"/>
      <sheetName val="Total Comp"/>
      <sheetName val="State Total Comp"/>
      <sheetName val="Federal Comp"/>
      <sheetName val="TF Comp"/>
      <sheetName val="TIB Comp"/>
      <sheetName val="AOT Jan"/>
    </sheetNames>
    <sheetDataSet>
      <sheetData sheetId="0">
        <row r="8">
          <cell r="B8">
            <v>35973988</v>
          </cell>
        </row>
        <row r="10">
          <cell r="B10">
            <v>16211983</v>
          </cell>
        </row>
        <row r="13">
          <cell r="B13">
            <v>120459399</v>
          </cell>
        </row>
        <row r="14">
          <cell r="B14">
            <v>22595374</v>
          </cell>
        </row>
        <row r="15">
          <cell r="B15">
            <v>49767020</v>
          </cell>
        </row>
        <row r="16">
          <cell r="B16">
            <v>37334563</v>
          </cell>
        </row>
        <row r="17">
          <cell r="B17">
            <v>33343610</v>
          </cell>
        </row>
        <row r="18">
          <cell r="B18">
            <v>5220233</v>
          </cell>
        </row>
        <row r="19">
          <cell r="B19">
            <v>16789554</v>
          </cell>
        </row>
        <row r="20">
          <cell r="B20">
            <v>4454294</v>
          </cell>
        </row>
        <row r="21">
          <cell r="B21">
            <v>0</v>
          </cell>
        </row>
        <row r="22">
          <cell r="B22">
            <v>25084554</v>
          </cell>
        </row>
        <row r="24">
          <cell r="B24">
            <v>315048601</v>
          </cell>
        </row>
        <row r="26">
          <cell r="B26">
            <v>0</v>
          </cell>
        </row>
        <row r="28">
          <cell r="B28">
            <v>5000000</v>
          </cell>
        </row>
        <row r="30">
          <cell r="B30">
            <v>1460000</v>
          </cell>
        </row>
        <row r="32">
          <cell r="B32">
            <v>11458898</v>
          </cell>
        </row>
        <row r="34">
          <cell r="B34">
            <v>103519499</v>
          </cell>
        </row>
        <row r="36">
          <cell r="B36">
            <v>42821522</v>
          </cell>
        </row>
        <row r="38">
          <cell r="B38">
            <v>10451646</v>
          </cell>
        </row>
        <row r="40">
          <cell r="B40">
            <v>36380019</v>
          </cell>
        </row>
        <row r="42">
          <cell r="B42">
            <v>22202720</v>
          </cell>
        </row>
        <row r="44">
          <cell r="B44">
            <v>850000</v>
          </cell>
        </row>
        <row r="48">
          <cell r="B48">
            <v>14894232</v>
          </cell>
        </row>
        <row r="50">
          <cell r="B50">
            <v>12667000</v>
          </cell>
        </row>
        <row r="52">
          <cell r="B52">
            <v>15297500</v>
          </cell>
        </row>
        <row r="54">
          <cell r="B54">
            <v>1150000</v>
          </cell>
        </row>
        <row r="56">
          <cell r="B56">
            <v>180000</v>
          </cell>
        </row>
        <row r="58">
          <cell r="B58">
            <v>27105769</v>
          </cell>
        </row>
        <row r="60">
          <cell r="B60">
            <v>128750</v>
          </cell>
        </row>
        <row r="62">
          <cell r="B62">
            <v>411689</v>
          </cell>
        </row>
        <row r="64">
          <cell r="B64">
            <v>6110000</v>
          </cell>
        </row>
        <row r="66">
          <cell r="B66">
            <v>1250000</v>
          </cell>
        </row>
        <row r="70">
          <cell r="B70">
            <v>186611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B8">
            <v>34345533</v>
          </cell>
        </row>
        <row r="10">
          <cell r="B10">
            <v>15979760</v>
          </cell>
        </row>
        <row r="13">
          <cell r="B13">
            <v>105755261</v>
          </cell>
        </row>
        <row r="14">
          <cell r="B14">
            <v>22653892</v>
          </cell>
        </row>
        <row r="15">
          <cell r="B15">
            <v>67955839</v>
          </cell>
        </row>
        <row r="16">
          <cell r="B16">
            <v>42111213</v>
          </cell>
        </row>
        <row r="17">
          <cell r="B17">
            <v>34568991</v>
          </cell>
        </row>
        <row r="18">
          <cell r="B18">
            <v>5580568</v>
          </cell>
        </row>
        <row r="19">
          <cell r="B19">
            <v>17000970</v>
          </cell>
        </row>
        <row r="20">
          <cell r="B20">
            <v>2763408</v>
          </cell>
        </row>
        <row r="21">
          <cell r="B21">
            <v>0</v>
          </cell>
        </row>
        <row r="22">
          <cell r="B22">
            <v>24385131</v>
          </cell>
        </row>
        <row r="24">
          <cell r="B24">
            <v>322775273</v>
          </cell>
        </row>
        <row r="26">
          <cell r="B26">
            <v>1557438</v>
          </cell>
        </row>
        <row r="28">
          <cell r="B28">
            <v>11400000</v>
          </cell>
        </row>
        <row r="30">
          <cell r="B30">
            <v>1010000</v>
          </cell>
        </row>
        <row r="32">
          <cell r="B32">
            <v>11551005</v>
          </cell>
        </row>
        <row r="34">
          <cell r="B34">
            <v>99836436</v>
          </cell>
        </row>
        <row r="36">
          <cell r="B36">
            <v>38234820</v>
          </cell>
        </row>
        <row r="38">
          <cell r="B38">
            <v>9555672</v>
          </cell>
        </row>
        <row r="40">
          <cell r="B40">
            <v>31494448</v>
          </cell>
        </row>
        <row r="42">
          <cell r="B42">
            <v>20982875</v>
          </cell>
        </row>
        <row r="44">
          <cell r="B44">
            <v>307000</v>
          </cell>
        </row>
        <row r="48">
          <cell r="B48">
            <v>13073351</v>
          </cell>
        </row>
        <row r="50">
          <cell r="B50">
            <v>4650000</v>
          </cell>
        </row>
        <row r="52">
          <cell r="B52">
            <v>3250000</v>
          </cell>
        </row>
        <row r="54">
          <cell r="B54">
            <v>1150000</v>
          </cell>
        </row>
        <row r="56">
          <cell r="B56">
            <v>180000</v>
          </cell>
        </row>
        <row r="58">
          <cell r="B58">
            <v>27105769</v>
          </cell>
        </row>
        <row r="60">
          <cell r="B60">
            <v>128750</v>
          </cell>
        </row>
        <row r="62">
          <cell r="B62">
            <v>408964.67499999999</v>
          </cell>
        </row>
        <row r="64">
          <cell r="B64">
            <v>6055000</v>
          </cell>
        </row>
        <row r="66">
          <cell r="B66">
            <v>1250000</v>
          </cell>
        </row>
        <row r="70">
          <cell r="B70">
            <v>184774</v>
          </cell>
        </row>
      </sheetData>
      <sheetData sheetId="9"/>
      <sheetData sheetId="10"/>
      <sheetData sheetId="11"/>
      <sheetData sheetId="12"/>
      <sheetData sheetId="13"/>
      <sheetData sheetId="14">
        <row r="8">
          <cell r="B8">
            <v>34393224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9A9B2-9604-4182-A3DB-5B434C5F57E6}">
  <sheetPr>
    <tabColor rgb="FFFFFF00"/>
    <pageSetUpPr fitToPage="1"/>
  </sheetPr>
  <dimension ref="A1:U212"/>
  <sheetViews>
    <sheetView topLeftCell="C1" zoomScale="67" zoomScaleNormal="67" workbookViewId="0">
      <pane ySplit="4" topLeftCell="A5" activePane="bottomLeft" state="frozen"/>
      <selection pane="bottomLeft" activeCell="E93" sqref="E93"/>
    </sheetView>
  </sheetViews>
  <sheetFormatPr baseColWidth="10" defaultColWidth="9.1640625" defaultRowHeight="13" x14ac:dyDescent="0.15"/>
  <cols>
    <col min="1" max="1" width="20.5" style="1" customWidth="1"/>
    <col min="2" max="2" width="18" style="1" customWidth="1"/>
    <col min="3" max="3" width="57.33203125" style="2" customWidth="1"/>
    <col min="4" max="4" width="20.6640625" style="2" customWidth="1"/>
    <col min="5" max="5" width="27.5" style="2" customWidth="1"/>
    <col min="6" max="6" width="23.83203125" style="2" customWidth="1"/>
    <col min="7" max="7" width="22.5" style="2" customWidth="1"/>
    <col min="8" max="8" width="21.1640625" style="2" customWidth="1"/>
    <col min="9" max="9" width="21.6640625" style="2" customWidth="1"/>
    <col min="10" max="10" width="19.5" style="2" customWidth="1"/>
    <col min="11" max="11" width="18.83203125" style="2" customWidth="1"/>
    <col min="12" max="12" width="16.83203125" style="2" customWidth="1"/>
    <col min="13" max="13" width="13.1640625" style="2" customWidth="1"/>
    <col min="14" max="14" width="15.6640625" style="2" customWidth="1"/>
    <col min="15" max="15" width="16" style="1" customWidth="1"/>
    <col min="16" max="16" width="18.5" style="1" customWidth="1"/>
    <col min="17" max="17" width="17.1640625" style="1" customWidth="1"/>
    <col min="18" max="18" width="16.5" style="1" hidden="1" customWidth="1"/>
    <col min="19" max="19" width="17" style="1" customWidth="1"/>
    <col min="20" max="20" width="74.6640625" style="1" customWidth="1"/>
    <col min="21" max="21" width="12.1640625" style="1" bestFit="1" customWidth="1"/>
    <col min="22" max="16384" width="9.1640625" style="1"/>
  </cols>
  <sheetData>
    <row r="1" spans="1:19" ht="20" x14ac:dyDescent="0.2">
      <c r="A1" s="99" t="s">
        <v>106</v>
      </c>
      <c r="B1" s="99">
        <v>44340</v>
      </c>
      <c r="C1" s="299"/>
      <c r="D1" s="300" t="s">
        <v>91</v>
      </c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1"/>
    </row>
    <row r="2" spans="1:19" ht="21" thickBot="1" x14ac:dyDescent="0.25">
      <c r="C2" s="299"/>
      <c r="D2" s="302" t="s">
        <v>150</v>
      </c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3"/>
    </row>
    <row r="3" spans="1:19" ht="18" x14ac:dyDescent="0.2">
      <c r="A3" s="62" t="s">
        <v>133</v>
      </c>
      <c r="B3" s="62" t="s">
        <v>134</v>
      </c>
      <c r="C3" s="173"/>
      <c r="D3" s="304" t="s">
        <v>90</v>
      </c>
      <c r="E3" s="304"/>
      <c r="F3" s="305" t="s">
        <v>89</v>
      </c>
      <c r="G3" s="304"/>
      <c r="H3" s="305" t="s">
        <v>88</v>
      </c>
      <c r="I3" s="304"/>
      <c r="J3" s="182" t="s">
        <v>87</v>
      </c>
      <c r="K3" s="63" t="s">
        <v>86</v>
      </c>
      <c r="L3" s="63" t="s">
        <v>85</v>
      </c>
      <c r="M3" s="63"/>
      <c r="N3" s="63"/>
      <c r="O3" s="63"/>
      <c r="P3" s="156" t="s">
        <v>84</v>
      </c>
    </row>
    <row r="4" spans="1:19" ht="57.75" customHeight="1" thickBot="1" x14ac:dyDescent="0.25">
      <c r="A4" s="80" t="s">
        <v>83</v>
      </c>
      <c r="B4" s="80" t="s">
        <v>132</v>
      </c>
      <c r="C4" s="174"/>
      <c r="D4" s="106" t="s">
        <v>82</v>
      </c>
      <c r="E4" s="164" t="s">
        <v>149</v>
      </c>
      <c r="F4" s="106" t="s">
        <v>82</v>
      </c>
      <c r="G4" s="157" t="s">
        <v>149</v>
      </c>
      <c r="H4" s="107" t="s">
        <v>82</v>
      </c>
      <c r="I4" s="157" t="s">
        <v>149</v>
      </c>
      <c r="J4" s="86" t="s">
        <v>81</v>
      </c>
      <c r="K4" s="64" t="s">
        <v>80</v>
      </c>
      <c r="L4" s="64" t="s">
        <v>79</v>
      </c>
      <c r="M4" s="64" t="s">
        <v>78</v>
      </c>
      <c r="N4" s="64" t="s">
        <v>77</v>
      </c>
      <c r="O4" s="158" t="s">
        <v>76</v>
      </c>
      <c r="P4" s="166" t="s">
        <v>75</v>
      </c>
    </row>
    <row r="5" spans="1:19" ht="15" customHeight="1" x14ac:dyDescent="0.2">
      <c r="A5" s="61"/>
      <c r="B5" s="61"/>
      <c r="C5" s="68"/>
      <c r="D5" s="180"/>
      <c r="E5" s="67"/>
      <c r="F5" s="66"/>
      <c r="G5" s="67"/>
      <c r="H5" s="66"/>
      <c r="I5" s="67"/>
      <c r="J5" s="66"/>
      <c r="K5" s="66"/>
      <c r="L5" s="66"/>
      <c r="M5" s="66"/>
      <c r="N5" s="66"/>
      <c r="O5" s="66"/>
      <c r="P5" s="67"/>
    </row>
    <row r="6" spans="1:19" ht="15" customHeight="1" x14ac:dyDescent="0.2">
      <c r="A6" s="61"/>
      <c r="B6" s="61"/>
      <c r="C6" s="68"/>
      <c r="D6" s="98"/>
      <c r="E6" s="68"/>
      <c r="F6" s="65"/>
      <c r="G6" s="68"/>
      <c r="H6" s="65"/>
      <c r="I6" s="68"/>
      <c r="J6" s="65"/>
      <c r="K6" s="65"/>
      <c r="L6" s="65"/>
      <c r="M6" s="65"/>
      <c r="N6" s="65"/>
      <c r="O6" s="65"/>
      <c r="P6" s="68"/>
    </row>
    <row r="7" spans="1:19" ht="15" customHeight="1" x14ac:dyDescent="0.2">
      <c r="A7" s="61" t="s">
        <v>74</v>
      </c>
      <c r="B7" s="61"/>
      <c r="C7" s="175" t="s">
        <v>73</v>
      </c>
      <c r="D7" s="98">
        <f>F7+H7+J7+K7+L7+N7+P7</f>
        <v>35973988</v>
      </c>
      <c r="E7" s="69">
        <f>G7+I7+J7+K7+L7+N7+P7</f>
        <v>35973988</v>
      </c>
      <c r="F7" s="65">
        <v>34190338</v>
      </c>
      <c r="G7" s="69">
        <f>F7</f>
        <v>34190338</v>
      </c>
      <c r="H7" s="65">
        <v>1666250</v>
      </c>
      <c r="I7" s="69">
        <f>H7</f>
        <v>1666250</v>
      </c>
      <c r="J7" s="65"/>
      <c r="K7" s="65"/>
      <c r="L7" s="65">
        <v>117400</v>
      </c>
      <c r="M7" s="65"/>
      <c r="N7" s="65"/>
      <c r="O7" s="65"/>
      <c r="P7" s="68"/>
      <c r="Q7" s="1" t="s">
        <v>148</v>
      </c>
      <c r="R7" s="2"/>
    </row>
    <row r="8" spans="1:19" ht="15" customHeight="1" x14ac:dyDescent="0.2">
      <c r="A8" s="61"/>
      <c r="B8" s="61"/>
      <c r="C8" s="176"/>
      <c r="D8" s="98"/>
      <c r="E8" s="69"/>
      <c r="F8" s="65"/>
      <c r="G8" s="69"/>
      <c r="H8" s="65"/>
      <c r="I8" s="69"/>
      <c r="J8" s="65"/>
      <c r="K8" s="65"/>
      <c r="L8" s="65"/>
      <c r="M8" s="65"/>
      <c r="N8" s="65"/>
      <c r="O8" s="65"/>
      <c r="P8" s="68"/>
    </row>
    <row r="9" spans="1:19" ht="15" customHeight="1" x14ac:dyDescent="0.2">
      <c r="A9" s="61" t="s">
        <v>72</v>
      </c>
      <c r="B9" s="61"/>
      <c r="C9" s="175" t="s">
        <v>71</v>
      </c>
      <c r="D9" s="98">
        <f>F9+H9+J9+K9+L9+N9+P9</f>
        <v>16211983</v>
      </c>
      <c r="E9" s="69">
        <f>G9+I9+J9+K9+L9+N9+P9</f>
        <v>16211983</v>
      </c>
      <c r="F9" s="65">
        <v>15815083</v>
      </c>
      <c r="G9" s="69">
        <f>F9</f>
        <v>15815083</v>
      </c>
      <c r="H9" s="65">
        <v>396900</v>
      </c>
      <c r="I9" s="69">
        <f>H9</f>
        <v>396900</v>
      </c>
      <c r="J9" s="65"/>
      <c r="K9" s="65"/>
      <c r="L9" s="65"/>
      <c r="M9" s="65"/>
      <c r="N9" s="65"/>
      <c r="O9" s="65"/>
      <c r="P9" s="68"/>
    </row>
    <row r="10" spans="1:19" ht="15" customHeight="1" x14ac:dyDescent="0.2">
      <c r="A10" s="61"/>
      <c r="B10" s="61"/>
      <c r="C10" s="68"/>
      <c r="D10" s="98"/>
      <c r="E10" s="69"/>
      <c r="F10" s="65"/>
      <c r="G10" s="69"/>
      <c r="H10" s="65"/>
      <c r="I10" s="69"/>
      <c r="J10" s="65"/>
      <c r="K10" s="65"/>
      <c r="L10" s="65"/>
      <c r="M10" s="65"/>
      <c r="N10" s="65"/>
      <c r="O10" s="65"/>
      <c r="P10" s="68"/>
    </row>
    <row r="11" spans="1:19" ht="15" customHeight="1" x14ac:dyDescent="0.2">
      <c r="A11" s="61" t="s">
        <v>70</v>
      </c>
      <c r="B11" s="61"/>
      <c r="C11" s="175" t="s">
        <v>69</v>
      </c>
      <c r="D11" s="98"/>
      <c r="E11" s="69"/>
      <c r="F11" s="65"/>
      <c r="G11" s="69"/>
      <c r="H11" s="65"/>
      <c r="I11" s="69"/>
      <c r="J11" s="65"/>
      <c r="K11" s="65"/>
      <c r="L11" s="65"/>
      <c r="M11" s="65"/>
      <c r="N11" s="65"/>
      <c r="O11" s="65"/>
      <c r="P11" s="68"/>
    </row>
    <row r="12" spans="1:19" ht="15" customHeight="1" x14ac:dyDescent="0.2">
      <c r="A12" s="61"/>
      <c r="B12" s="61"/>
      <c r="C12" s="68" t="s">
        <v>68</v>
      </c>
      <c r="D12" s="98">
        <f t="shared" ref="D12:D19" si="0">F12+H12+J12+K12+L12+N12+P12</f>
        <v>120459399</v>
      </c>
      <c r="E12" s="69">
        <f>G12+I12+J12+K12+L12+N12+P12</f>
        <v>120459399</v>
      </c>
      <c r="F12" s="65">
        <v>16804582</v>
      </c>
      <c r="G12" s="69">
        <f t="shared" ref="G12:G18" si="1">F12</f>
        <v>16804582</v>
      </c>
      <c r="H12" s="65">
        <v>102298777</v>
      </c>
      <c r="I12" s="69">
        <f t="shared" ref="I12:I19" si="2">H12</f>
        <v>102298777</v>
      </c>
      <c r="J12" s="65"/>
      <c r="K12" s="65"/>
      <c r="L12" s="65"/>
      <c r="M12" s="65"/>
      <c r="N12" s="65">
        <v>1356040</v>
      </c>
      <c r="O12" s="65"/>
      <c r="P12" s="68"/>
      <c r="R12" s="2"/>
    </row>
    <row r="13" spans="1:19" ht="15" customHeight="1" x14ac:dyDescent="0.2">
      <c r="A13" s="61"/>
      <c r="B13" s="61"/>
      <c r="C13" s="68" t="s">
        <v>67</v>
      </c>
      <c r="D13" s="98">
        <f t="shared" si="0"/>
        <v>22595374</v>
      </c>
      <c r="E13" s="69">
        <f>G13+I13+J13+K13+L13+N13+P13</f>
        <v>22595374</v>
      </c>
      <c r="F13" s="65">
        <v>1227251</v>
      </c>
      <c r="G13" s="69">
        <f t="shared" si="1"/>
        <v>1227251</v>
      </c>
      <c r="H13" s="65">
        <v>20405836</v>
      </c>
      <c r="I13" s="69">
        <f t="shared" si="2"/>
        <v>20405836</v>
      </c>
      <c r="J13" s="65"/>
      <c r="K13" s="65"/>
      <c r="L13" s="65"/>
      <c r="M13" s="65"/>
      <c r="N13" s="65">
        <v>962287</v>
      </c>
      <c r="O13" s="65"/>
      <c r="P13" s="68"/>
      <c r="R13" s="2"/>
    </row>
    <row r="14" spans="1:19" ht="15" customHeight="1" x14ac:dyDescent="0.2">
      <c r="A14" s="96" t="s">
        <v>70</v>
      </c>
      <c r="B14" s="61" t="s">
        <v>125</v>
      </c>
      <c r="C14" s="68" t="s">
        <v>66</v>
      </c>
      <c r="D14" s="82">
        <f t="shared" si="0"/>
        <v>49767020</v>
      </c>
      <c r="E14" s="100">
        <v>49252858</v>
      </c>
      <c r="F14" s="65">
        <v>6347926</v>
      </c>
      <c r="G14" s="100">
        <v>6245094</v>
      </c>
      <c r="H14" s="70">
        <v>37981387</v>
      </c>
      <c r="I14" s="100">
        <v>37570057</v>
      </c>
      <c r="J14" s="65"/>
      <c r="K14" s="65"/>
      <c r="L14" s="65"/>
      <c r="M14" s="65"/>
      <c r="N14" s="65">
        <v>5437707</v>
      </c>
      <c r="O14" s="65"/>
      <c r="P14" s="68"/>
      <c r="Q14" s="1" t="s">
        <v>136</v>
      </c>
    </row>
    <row r="15" spans="1:19" ht="15" customHeight="1" x14ac:dyDescent="0.2">
      <c r="A15" s="61"/>
      <c r="B15" s="61"/>
      <c r="C15" s="68" t="s">
        <v>65</v>
      </c>
      <c r="D15" s="82">
        <f t="shared" si="0"/>
        <v>37334563</v>
      </c>
      <c r="E15" s="69">
        <f>G15+I15+J15+K15+L15+N15+P15</f>
        <v>37334563</v>
      </c>
      <c r="F15" s="65">
        <v>2876122</v>
      </c>
      <c r="G15" s="69">
        <f t="shared" si="1"/>
        <v>2876122</v>
      </c>
      <c r="H15" s="65">
        <v>31142760</v>
      </c>
      <c r="I15" s="69">
        <f t="shared" si="2"/>
        <v>31142760</v>
      </c>
      <c r="J15" s="65">
        <v>474078</v>
      </c>
      <c r="K15" s="65"/>
      <c r="L15" s="65"/>
      <c r="M15" s="65"/>
      <c r="N15" s="65">
        <v>2841603</v>
      </c>
      <c r="O15" s="65"/>
      <c r="P15" s="167"/>
      <c r="R15" s="2"/>
    </row>
    <row r="16" spans="1:19" ht="15" customHeight="1" x14ac:dyDescent="0.2">
      <c r="A16" s="61"/>
      <c r="B16" s="61"/>
      <c r="C16" s="68" t="s">
        <v>64</v>
      </c>
      <c r="D16" s="82">
        <f t="shared" si="0"/>
        <v>33343610</v>
      </c>
      <c r="E16" s="69">
        <f>G16+I16+J16+K16+L16+N16+P16</f>
        <v>33343610</v>
      </c>
      <c r="F16" s="65">
        <v>564544</v>
      </c>
      <c r="G16" s="69">
        <f t="shared" si="1"/>
        <v>564544</v>
      </c>
      <c r="H16" s="65">
        <v>32772066</v>
      </c>
      <c r="I16" s="69">
        <f t="shared" si="2"/>
        <v>32772066</v>
      </c>
      <c r="J16" s="65">
        <v>7000</v>
      </c>
      <c r="K16" s="65"/>
      <c r="L16" s="65"/>
      <c r="M16" s="65"/>
      <c r="N16" s="65"/>
      <c r="O16" s="65"/>
      <c r="P16" s="68"/>
    </row>
    <row r="17" spans="1:20" ht="15" customHeight="1" x14ac:dyDescent="0.2">
      <c r="A17" s="61"/>
      <c r="B17" s="61"/>
      <c r="C17" s="68" t="s">
        <v>63</v>
      </c>
      <c r="D17" s="82">
        <f t="shared" si="0"/>
        <v>5220233</v>
      </c>
      <c r="E17" s="69">
        <f>G17+I17+J17+K17+L17+N17+P17</f>
        <v>5220233</v>
      </c>
      <c r="F17" s="65">
        <v>100000</v>
      </c>
      <c r="G17" s="69">
        <f t="shared" si="1"/>
        <v>100000</v>
      </c>
      <c r="H17" s="65">
        <v>5120233</v>
      </c>
      <c r="I17" s="69">
        <f t="shared" si="2"/>
        <v>5120233</v>
      </c>
      <c r="J17" s="65"/>
      <c r="K17" s="65"/>
      <c r="L17" s="65"/>
      <c r="M17" s="65"/>
      <c r="N17" s="65"/>
      <c r="O17" s="65"/>
      <c r="P17" s="68"/>
    </row>
    <row r="18" spans="1:20" ht="15" customHeight="1" x14ac:dyDescent="0.2">
      <c r="A18" s="61"/>
      <c r="B18" s="61"/>
      <c r="C18" s="68" t="s">
        <v>62</v>
      </c>
      <c r="D18" s="82">
        <f t="shared" si="0"/>
        <v>16789554</v>
      </c>
      <c r="E18" s="69">
        <f>G18+I18+J18+K18+L18+N18+P18</f>
        <v>16789554</v>
      </c>
      <c r="F18" s="65">
        <v>2015702</v>
      </c>
      <c r="G18" s="69">
        <f t="shared" si="1"/>
        <v>2015702</v>
      </c>
      <c r="H18" s="65">
        <v>14773852</v>
      </c>
      <c r="I18" s="69">
        <f t="shared" si="2"/>
        <v>14773852</v>
      </c>
      <c r="J18" s="65"/>
      <c r="K18" s="65"/>
      <c r="L18" s="65"/>
      <c r="M18" s="65"/>
      <c r="N18" s="65"/>
      <c r="O18" s="65"/>
      <c r="P18" s="68"/>
    </row>
    <row r="19" spans="1:20" ht="15" customHeight="1" x14ac:dyDescent="0.2">
      <c r="A19" s="61"/>
      <c r="B19" s="61"/>
      <c r="C19" s="68" t="s">
        <v>61</v>
      </c>
      <c r="D19" s="82">
        <f t="shared" si="0"/>
        <v>4454294</v>
      </c>
      <c r="E19" s="69">
        <f>G19+I19+J19+K19+L19+N19+P19</f>
        <v>4454294</v>
      </c>
      <c r="F19" s="65"/>
      <c r="G19" s="69"/>
      <c r="H19" s="65">
        <v>4454294</v>
      </c>
      <c r="I19" s="69">
        <f t="shared" si="2"/>
        <v>4454294</v>
      </c>
      <c r="J19" s="65"/>
      <c r="K19" s="65"/>
      <c r="L19" s="65"/>
      <c r="M19" s="65"/>
      <c r="N19" s="65"/>
      <c r="O19" s="65"/>
      <c r="P19" s="167"/>
    </row>
    <row r="20" spans="1:20" ht="15" customHeight="1" x14ac:dyDescent="0.2">
      <c r="A20" s="61"/>
      <c r="B20" s="61"/>
      <c r="C20" s="68" t="s">
        <v>60</v>
      </c>
      <c r="D20" s="82"/>
      <c r="E20" s="69"/>
      <c r="F20" s="65"/>
      <c r="G20" s="69"/>
      <c r="H20" s="65"/>
      <c r="I20" s="69"/>
      <c r="J20" s="65"/>
      <c r="K20" s="65"/>
      <c r="L20" s="65"/>
      <c r="M20" s="65"/>
      <c r="N20" s="65"/>
      <c r="O20" s="65"/>
      <c r="P20" s="167"/>
    </row>
    <row r="21" spans="1:20" ht="15" customHeight="1" x14ac:dyDescent="0.2">
      <c r="A21" s="61"/>
      <c r="B21" s="61"/>
      <c r="C21" s="68" t="s">
        <v>59</v>
      </c>
      <c r="D21" s="71">
        <f>F21+H21+J21+K21+L21+N21+P21</f>
        <v>25084554</v>
      </c>
      <c r="E21" s="165">
        <f>G21+I21+J21+K21+L21+N21+P21</f>
        <v>25084554</v>
      </c>
      <c r="F21" s="71">
        <v>18884554</v>
      </c>
      <c r="G21" s="165">
        <f>F21</f>
        <v>18884554</v>
      </c>
      <c r="H21" s="71">
        <v>6200000</v>
      </c>
      <c r="I21" s="165">
        <f>H21</f>
        <v>6200000</v>
      </c>
      <c r="J21" s="71"/>
      <c r="K21" s="71"/>
      <c r="L21" s="71"/>
      <c r="M21" s="71"/>
      <c r="N21" s="71"/>
      <c r="O21" s="71"/>
      <c r="P21" s="92"/>
    </row>
    <row r="22" spans="1:20" ht="15" customHeight="1" x14ac:dyDescent="0.2">
      <c r="A22" s="61"/>
      <c r="B22" s="61"/>
      <c r="C22" s="68"/>
      <c r="D22" s="82"/>
      <c r="E22" s="69"/>
      <c r="F22" s="65"/>
      <c r="G22" s="69"/>
      <c r="H22" s="65"/>
      <c r="I22" s="69"/>
      <c r="J22" s="65"/>
      <c r="K22" s="65"/>
      <c r="L22" s="65"/>
      <c r="M22" s="65"/>
      <c r="N22" s="65"/>
      <c r="O22" s="65"/>
      <c r="P22" s="68"/>
    </row>
    <row r="23" spans="1:20" ht="15" customHeight="1" x14ac:dyDescent="0.2">
      <c r="A23" s="61"/>
      <c r="B23" s="61"/>
      <c r="C23" s="68" t="s">
        <v>58</v>
      </c>
      <c r="D23" s="82">
        <f>F23+H23+J23+K23+L23+N23+P23</f>
        <v>315048601</v>
      </c>
      <c r="E23" s="100">
        <f>G23+I23+J23+K23+L23+N23+P23</f>
        <v>314534439</v>
      </c>
      <c r="F23" s="65">
        <f>SUM(F12:F21)</f>
        <v>48820681</v>
      </c>
      <c r="G23" s="100">
        <f>SUM(G12:G21)</f>
        <v>48717849</v>
      </c>
      <c r="H23" s="65">
        <f>SUM(H12:H21)</f>
        <v>255149205</v>
      </c>
      <c r="I23" s="100">
        <f>SUM(I12:I21)</f>
        <v>254737875</v>
      </c>
      <c r="J23" s="65">
        <f>SUM(J12:J21)</f>
        <v>481078</v>
      </c>
      <c r="K23" s="65"/>
      <c r="L23" s="65"/>
      <c r="M23" s="65"/>
      <c r="N23" s="65">
        <f>SUM(N12:N21)</f>
        <v>10597637</v>
      </c>
      <c r="O23" s="65"/>
      <c r="P23" s="68"/>
      <c r="T23" s="122"/>
    </row>
    <row r="24" spans="1:20" ht="15" customHeight="1" x14ac:dyDescent="0.2">
      <c r="A24" s="61"/>
      <c r="B24" s="61"/>
      <c r="C24" s="68"/>
      <c r="D24" s="82"/>
      <c r="E24" s="69"/>
      <c r="F24" s="85"/>
      <c r="G24" s="68"/>
      <c r="H24" s="83"/>
      <c r="I24" s="87"/>
      <c r="J24" s="65"/>
      <c r="K24" s="83"/>
      <c r="L24" s="85"/>
      <c r="M24" s="65"/>
      <c r="N24" s="65"/>
      <c r="O24" s="65"/>
      <c r="P24" s="68"/>
      <c r="Q24" s="65"/>
      <c r="R24" s="65"/>
      <c r="S24" s="82"/>
      <c r="T24" s="122"/>
    </row>
    <row r="25" spans="1:20" ht="15" customHeight="1" x14ac:dyDescent="0.2">
      <c r="A25" s="61"/>
      <c r="B25" s="61"/>
      <c r="C25" s="68"/>
      <c r="D25" s="82"/>
      <c r="E25" s="69"/>
      <c r="F25" s="85"/>
      <c r="G25" s="68"/>
      <c r="H25" s="83"/>
      <c r="I25" s="87"/>
      <c r="J25" s="65"/>
      <c r="K25" s="83"/>
      <c r="L25" s="85"/>
      <c r="M25" s="65"/>
      <c r="N25" s="65"/>
      <c r="O25" s="65"/>
      <c r="P25" s="68"/>
      <c r="Q25" s="65"/>
      <c r="R25" s="65"/>
      <c r="S25" s="82"/>
      <c r="T25" s="122"/>
    </row>
    <row r="26" spans="1:20" ht="15" customHeight="1" x14ac:dyDescent="0.2">
      <c r="A26" s="61" t="s">
        <v>55</v>
      </c>
      <c r="B26" s="61"/>
      <c r="C26" s="175" t="s">
        <v>54</v>
      </c>
      <c r="D26" s="82">
        <f>F26+H26+J26+K26+L26+N26+P26</f>
        <v>1460000</v>
      </c>
      <c r="E26" s="68">
        <f>G26+I26+J26+K26+L26+N26+P26</f>
        <v>1460000</v>
      </c>
      <c r="F26" s="65">
        <v>146000</v>
      </c>
      <c r="G26" s="68">
        <v>146000</v>
      </c>
      <c r="H26" s="65">
        <v>1314000</v>
      </c>
      <c r="I26" s="69">
        <f>H26</f>
        <v>1314000</v>
      </c>
      <c r="J26" s="65"/>
      <c r="K26" s="82"/>
      <c r="L26" s="82"/>
      <c r="M26" s="65"/>
      <c r="N26" s="65"/>
      <c r="O26" s="65"/>
      <c r="P26" s="68"/>
      <c r="T26" s="122"/>
    </row>
    <row r="27" spans="1:20" ht="15" customHeight="1" x14ac:dyDescent="0.2">
      <c r="A27" s="61"/>
      <c r="B27" s="61"/>
      <c r="C27" s="88"/>
      <c r="D27" s="82"/>
      <c r="E27" s="68"/>
      <c r="F27" s="65"/>
      <c r="G27" s="68"/>
      <c r="H27" s="65"/>
      <c r="I27" s="69"/>
      <c r="J27" s="65"/>
      <c r="K27" s="82"/>
      <c r="L27" s="65"/>
      <c r="M27" s="65"/>
      <c r="N27" s="65"/>
      <c r="O27" s="65"/>
      <c r="P27" s="68"/>
    </row>
    <row r="28" spans="1:20" ht="15" customHeight="1" x14ac:dyDescent="0.2">
      <c r="A28" s="61" t="s">
        <v>53</v>
      </c>
      <c r="B28" s="61"/>
      <c r="C28" s="175" t="s">
        <v>52</v>
      </c>
      <c r="D28" s="82">
        <f>F28+H28+J28+K28+L28+N28+P28</f>
        <v>11458898</v>
      </c>
      <c r="E28" s="68">
        <f t="shared" ref="E28:E40" si="3">G28+I28+J28+K28+L28+N28+P28</f>
        <v>11458898</v>
      </c>
      <c r="F28" s="65">
        <v>3153630</v>
      </c>
      <c r="G28" s="68">
        <v>3153630</v>
      </c>
      <c r="H28" s="65">
        <v>8285268</v>
      </c>
      <c r="I28" s="69">
        <f>H28</f>
        <v>8285268</v>
      </c>
      <c r="J28" s="65"/>
      <c r="K28" s="65"/>
      <c r="L28" s="65">
        <v>20000</v>
      </c>
      <c r="M28" s="65"/>
      <c r="N28" s="65"/>
      <c r="O28" s="65"/>
      <c r="P28" s="68"/>
    </row>
    <row r="29" spans="1:20" ht="15" customHeight="1" x14ac:dyDescent="0.2">
      <c r="A29" s="61"/>
      <c r="B29" s="61"/>
      <c r="C29" s="68"/>
      <c r="D29" s="82"/>
      <c r="E29" s="68"/>
      <c r="F29" s="65"/>
      <c r="G29" s="68"/>
      <c r="H29" s="65"/>
      <c r="I29" s="69"/>
      <c r="J29" s="65"/>
      <c r="K29" s="65"/>
      <c r="L29" s="65"/>
      <c r="M29" s="65"/>
      <c r="N29" s="65"/>
      <c r="O29" s="65"/>
      <c r="P29" s="68"/>
    </row>
    <row r="30" spans="1:20" ht="15" customHeight="1" x14ac:dyDescent="0.2">
      <c r="A30" s="61" t="s">
        <v>51</v>
      </c>
      <c r="B30" s="61" t="s">
        <v>127</v>
      </c>
      <c r="C30" s="175" t="s">
        <v>50</v>
      </c>
      <c r="D30" s="82">
        <f>F30+H30+J30+K30+L30+N30+P30</f>
        <v>103519499</v>
      </c>
      <c r="E30" s="68">
        <f t="shared" si="3"/>
        <v>103519499</v>
      </c>
      <c r="F30" s="65">
        <v>92516712</v>
      </c>
      <c r="G30" s="112">
        <v>87191712</v>
      </c>
      <c r="H30" s="65">
        <v>10902787</v>
      </c>
      <c r="I30" s="112">
        <v>16227787</v>
      </c>
      <c r="J30" s="73"/>
      <c r="K30" s="65"/>
      <c r="L30" s="65">
        <v>100000</v>
      </c>
      <c r="M30" s="65"/>
      <c r="N30" s="65"/>
      <c r="O30" s="65"/>
      <c r="P30" s="68"/>
    </row>
    <row r="31" spans="1:20" ht="15" customHeight="1" x14ac:dyDescent="0.2">
      <c r="A31" s="61"/>
      <c r="B31" s="61"/>
      <c r="C31" s="88"/>
      <c r="D31" s="82"/>
      <c r="E31" s="68"/>
      <c r="F31" s="65"/>
      <c r="G31" s="68"/>
      <c r="H31" s="65"/>
      <c r="I31" s="69"/>
      <c r="J31" s="65"/>
      <c r="K31" s="65"/>
      <c r="L31" s="65"/>
      <c r="M31" s="65"/>
      <c r="N31" s="65"/>
      <c r="O31" s="65"/>
      <c r="P31" s="68"/>
    </row>
    <row r="32" spans="1:20" ht="15" customHeight="1" x14ac:dyDescent="0.2">
      <c r="A32" s="61" t="s">
        <v>49</v>
      </c>
      <c r="B32" s="61"/>
      <c r="C32" s="175" t="s">
        <v>48</v>
      </c>
      <c r="D32" s="82">
        <f>F32+H32+J32+K32+L32+N32+P32</f>
        <v>42821522</v>
      </c>
      <c r="E32" s="68">
        <f t="shared" si="3"/>
        <v>42821522</v>
      </c>
      <c r="F32" s="65">
        <v>3303839</v>
      </c>
      <c r="G32" s="68">
        <v>3303839</v>
      </c>
      <c r="H32" s="65">
        <v>39496667</v>
      </c>
      <c r="I32" s="69">
        <f>H32</f>
        <v>39496667</v>
      </c>
      <c r="J32" s="73"/>
      <c r="K32" s="73"/>
      <c r="L32" s="65">
        <v>21016</v>
      </c>
      <c r="M32" s="65"/>
      <c r="N32" s="65"/>
      <c r="O32" s="65"/>
      <c r="P32" s="168"/>
    </row>
    <row r="33" spans="1:20" ht="15" customHeight="1" x14ac:dyDescent="0.2">
      <c r="A33" s="61"/>
      <c r="B33" s="61"/>
      <c r="C33" s="68"/>
      <c r="D33" s="82"/>
      <c r="E33" s="68"/>
      <c r="F33" s="65"/>
      <c r="G33" s="68"/>
      <c r="H33" s="65"/>
      <c r="I33" s="69"/>
      <c r="J33" s="65"/>
      <c r="K33" s="65"/>
      <c r="L33" s="65"/>
      <c r="M33" s="65"/>
      <c r="N33" s="65"/>
      <c r="O33" s="65"/>
      <c r="P33" s="68"/>
    </row>
    <row r="34" spans="1:20" ht="15" customHeight="1" x14ac:dyDescent="0.2">
      <c r="A34" s="61" t="s">
        <v>47</v>
      </c>
      <c r="B34" s="61"/>
      <c r="C34" s="175" t="s">
        <v>46</v>
      </c>
      <c r="D34" s="82">
        <f>F34+H34+J34+K34+L34+N34+P34</f>
        <v>10451646</v>
      </c>
      <c r="E34" s="68">
        <f t="shared" si="3"/>
        <v>10451646</v>
      </c>
      <c r="F34" s="65">
        <v>5556388</v>
      </c>
      <c r="G34" s="68">
        <v>5556388</v>
      </c>
      <c r="H34" s="65">
        <v>4895258</v>
      </c>
      <c r="I34" s="69">
        <f>H34</f>
        <v>4895258</v>
      </c>
      <c r="J34" s="65"/>
      <c r="K34" s="65"/>
      <c r="L34" s="65"/>
      <c r="M34" s="65"/>
      <c r="N34" s="65"/>
      <c r="O34" s="65"/>
      <c r="P34" s="68"/>
    </row>
    <row r="35" spans="1:20" ht="15" customHeight="1" x14ac:dyDescent="0.2">
      <c r="A35" s="61"/>
      <c r="B35" s="61"/>
      <c r="C35" s="68"/>
      <c r="D35" s="82"/>
      <c r="E35" s="68"/>
      <c r="F35" s="65"/>
      <c r="G35" s="68"/>
      <c r="H35" s="65"/>
      <c r="I35" s="69"/>
      <c r="J35" s="65"/>
      <c r="K35" s="65"/>
      <c r="L35" s="65"/>
      <c r="M35" s="65"/>
      <c r="N35" s="65"/>
      <c r="O35" s="65"/>
      <c r="P35" s="68"/>
    </row>
    <row r="36" spans="1:20" ht="15" customHeight="1" x14ac:dyDescent="0.2">
      <c r="A36" s="61" t="s">
        <v>45</v>
      </c>
      <c r="B36" s="61"/>
      <c r="C36" s="175" t="s">
        <v>44</v>
      </c>
      <c r="D36" s="82">
        <f>F36+H36+J36+K36+L36+N36+P36</f>
        <v>36380019</v>
      </c>
      <c r="E36" s="68">
        <f t="shared" si="3"/>
        <v>36380019</v>
      </c>
      <c r="F36" s="65">
        <v>13897283</v>
      </c>
      <c r="G36" s="68">
        <v>13897283</v>
      </c>
      <c r="H36" s="72">
        <v>19232299</v>
      </c>
      <c r="I36" s="170">
        <f>H36</f>
        <v>19232299</v>
      </c>
      <c r="J36" s="65">
        <v>820801</v>
      </c>
      <c r="K36" s="65"/>
      <c r="L36" s="65">
        <v>2429636</v>
      </c>
      <c r="M36" s="65"/>
      <c r="N36" s="65"/>
      <c r="O36" s="65"/>
      <c r="P36" s="68"/>
    </row>
    <row r="37" spans="1:20" ht="15" customHeight="1" x14ac:dyDescent="0.2">
      <c r="A37" s="61"/>
      <c r="B37" s="61"/>
      <c r="C37" s="68"/>
      <c r="D37" s="82"/>
      <c r="E37" s="68"/>
      <c r="F37" s="65"/>
      <c r="G37" s="87"/>
      <c r="H37" s="74" t="s">
        <v>43</v>
      </c>
      <c r="I37" s="171"/>
      <c r="J37" s="65"/>
      <c r="K37" s="65"/>
      <c r="L37" s="65"/>
      <c r="M37" s="65"/>
      <c r="N37" s="65"/>
      <c r="O37" s="65"/>
      <c r="P37" s="68"/>
    </row>
    <row r="38" spans="1:20" ht="15" customHeight="1" x14ac:dyDescent="0.2">
      <c r="A38" s="61" t="s">
        <v>42</v>
      </c>
      <c r="B38" s="61"/>
      <c r="C38" s="175" t="s">
        <v>41</v>
      </c>
      <c r="D38" s="82">
        <f>F38+H38+J38+K38+L38+N38+P38</f>
        <v>22202720</v>
      </c>
      <c r="E38" s="68">
        <f t="shared" si="3"/>
        <v>22202720</v>
      </c>
      <c r="F38" s="65"/>
      <c r="G38" s="87"/>
      <c r="H38" s="65"/>
      <c r="I38" s="69"/>
      <c r="J38" s="65"/>
      <c r="K38" s="65"/>
      <c r="L38" s="65"/>
      <c r="M38" s="65"/>
      <c r="N38" s="65"/>
      <c r="O38" s="65"/>
      <c r="P38" s="68">
        <v>22202720</v>
      </c>
    </row>
    <row r="39" spans="1:20" ht="15" customHeight="1" x14ac:dyDescent="0.2">
      <c r="A39" s="61"/>
      <c r="B39" s="61"/>
      <c r="C39" s="88"/>
      <c r="D39" s="82"/>
      <c r="E39" s="68"/>
      <c r="F39" s="65"/>
      <c r="G39" s="87"/>
      <c r="H39" s="65"/>
      <c r="I39" s="69"/>
      <c r="J39" s="65"/>
      <c r="K39" s="65"/>
      <c r="L39" s="65"/>
      <c r="M39" s="65"/>
      <c r="N39" s="65"/>
      <c r="O39" s="65"/>
      <c r="P39" s="68"/>
    </row>
    <row r="40" spans="1:20" ht="15" customHeight="1" thickBot="1" x14ac:dyDescent="0.25">
      <c r="A40" s="61" t="s">
        <v>40</v>
      </c>
      <c r="B40" s="61"/>
      <c r="C40" s="175" t="s">
        <v>39</v>
      </c>
      <c r="D40" s="98">
        <f>F40+H40+J40+K40+L40+N40+P40</f>
        <v>850000</v>
      </c>
      <c r="E40" s="68">
        <f t="shared" si="3"/>
        <v>850000</v>
      </c>
      <c r="F40" s="75">
        <v>850000</v>
      </c>
      <c r="G40" s="93">
        <v>850000</v>
      </c>
      <c r="H40" s="75"/>
      <c r="I40" s="163"/>
      <c r="J40" s="75"/>
      <c r="K40" s="75"/>
      <c r="L40" s="75"/>
      <c r="M40" s="75"/>
      <c r="N40" s="75"/>
      <c r="O40" s="75"/>
      <c r="P40" s="93"/>
    </row>
    <row r="41" spans="1:20" ht="11.25" customHeight="1" x14ac:dyDescent="0.2">
      <c r="A41" s="61"/>
      <c r="B41" s="61"/>
      <c r="C41" s="88"/>
      <c r="D41" s="180"/>
      <c r="E41" s="67"/>
      <c r="F41" s="1"/>
      <c r="G41" s="87"/>
      <c r="H41" s="66"/>
      <c r="I41" s="162"/>
      <c r="J41" s="66"/>
      <c r="K41" s="66"/>
      <c r="L41" s="66"/>
      <c r="M41" s="66"/>
      <c r="N41" s="66"/>
      <c r="O41" s="66"/>
      <c r="P41" s="67"/>
    </row>
    <row r="42" spans="1:20" ht="20.25" customHeight="1" thickBot="1" x14ac:dyDescent="0.25">
      <c r="A42" s="61"/>
      <c r="B42" s="61"/>
      <c r="C42" s="68" t="s">
        <v>38</v>
      </c>
      <c r="D42" s="177">
        <f>F42+H42+J42+K42+L42+N42+P42</f>
        <v>596378876</v>
      </c>
      <c r="E42" s="88">
        <f>G42+I42+J42+K42+L42+M42+N42+O42+P42</f>
        <v>595864714</v>
      </c>
      <c r="F42" s="105">
        <f t="shared" ref="F42:G42" si="4">F40+F38+F36+F34+F32+F28+F26+F23+F9+F7+F30</f>
        <v>218249954</v>
      </c>
      <c r="G42" s="172">
        <f t="shared" si="4"/>
        <v>212822122</v>
      </c>
      <c r="H42" s="105">
        <f>H40+H38+H36+H34+H32+H28+H26+H23+H9+H7+H30</f>
        <v>341338634</v>
      </c>
      <c r="I42" s="172">
        <f>I40+I38+I36+I34+I32+I28+I26+I23+I9+I7+I30</f>
        <v>346252304</v>
      </c>
      <c r="J42" s="91">
        <f>+J9+J23+J7+J34+J36+J38+J26+J40+J32+J28+J30</f>
        <v>1301879</v>
      </c>
      <c r="K42" s="91"/>
      <c r="L42" s="91">
        <f>+L7+L23+L34+L30+L36+L38+L26+L40+L32+L28</f>
        <v>2688052</v>
      </c>
      <c r="M42" s="91">
        <f>M23+M34+M30+M36+M38+M26+M40+M32+M28</f>
        <v>0</v>
      </c>
      <c r="N42" s="91">
        <f>+N23+N34+N30+N36+N38+N26+N40+N32+N28</f>
        <v>10597637</v>
      </c>
      <c r="O42" s="91">
        <f>+O23+O34+O30+O36+O38+O26+O40+O32+O28</f>
        <v>0</v>
      </c>
      <c r="P42" s="169">
        <f>+P23+P34+P30+P36+P38+P26+P40+P32+P28</f>
        <v>22202720</v>
      </c>
      <c r="Q42" s="122"/>
    </row>
    <row r="43" spans="1:20" ht="15" customHeight="1" x14ac:dyDescent="0.2">
      <c r="A43" s="61"/>
      <c r="B43" s="61"/>
      <c r="C43" s="68"/>
      <c r="D43" s="180"/>
      <c r="E43" s="67"/>
      <c r="F43" s="160"/>
      <c r="G43" s="84"/>
      <c r="H43" s="181"/>
      <c r="I43" s="102"/>
      <c r="J43" s="84"/>
      <c r="K43" s="84"/>
      <c r="L43" s="159"/>
      <c r="M43" s="66"/>
      <c r="N43" s="66"/>
      <c r="O43" s="66"/>
      <c r="P43" s="67"/>
      <c r="Q43" s="82"/>
      <c r="R43" s="82"/>
      <c r="S43" s="82"/>
      <c r="T43" s="122"/>
    </row>
    <row r="44" spans="1:20" ht="15" customHeight="1" x14ac:dyDescent="0.2">
      <c r="A44" s="61" t="s">
        <v>37</v>
      </c>
      <c r="B44" s="61" t="s">
        <v>125</v>
      </c>
      <c r="C44" s="175" t="s">
        <v>36</v>
      </c>
      <c r="D44" s="82">
        <f>F44+H44+J44+K44+L44+N44+P44</f>
        <v>14894232</v>
      </c>
      <c r="E44" s="100">
        <f>SUM(G44+I44+J44+N44)</f>
        <v>15408394</v>
      </c>
      <c r="F44" s="103">
        <v>1568395</v>
      </c>
      <c r="G44" s="100">
        <f>F44+102832</f>
        <v>1671227</v>
      </c>
      <c r="H44" s="103">
        <v>11994400</v>
      </c>
      <c r="I44" s="100">
        <f>H44+411330</f>
        <v>12405730</v>
      </c>
      <c r="J44" s="65">
        <v>531437</v>
      </c>
      <c r="K44" s="65"/>
      <c r="L44" s="65"/>
      <c r="M44" s="65"/>
      <c r="N44" s="65">
        <v>800000</v>
      </c>
      <c r="O44" s="65"/>
      <c r="P44" s="68"/>
      <c r="Q44" s="111" t="s">
        <v>141</v>
      </c>
    </row>
    <row r="45" spans="1:20" ht="15" customHeight="1" x14ac:dyDescent="0.2">
      <c r="A45" s="61"/>
      <c r="B45" s="61"/>
      <c r="C45" s="175"/>
      <c r="D45" s="82"/>
      <c r="E45" s="88"/>
      <c r="F45" s="65"/>
      <c r="G45" s="68"/>
      <c r="H45" s="65"/>
      <c r="I45" s="68"/>
      <c r="J45" s="65"/>
      <c r="K45" s="65"/>
      <c r="L45" s="65"/>
      <c r="M45" s="65"/>
      <c r="N45" s="65"/>
      <c r="O45" s="65"/>
      <c r="P45" s="68"/>
    </row>
    <row r="46" spans="1:20" ht="15" customHeight="1" x14ac:dyDescent="0.2">
      <c r="A46" s="61" t="s">
        <v>35</v>
      </c>
      <c r="B46" s="61"/>
      <c r="C46" s="175" t="s">
        <v>34</v>
      </c>
      <c r="D46" s="82">
        <f>F46+H46+J46+K46+L46+N46+P46</f>
        <v>12667000</v>
      </c>
      <c r="E46" s="68">
        <f>SUM(G46+I46+J46+N46)</f>
        <v>12667000</v>
      </c>
      <c r="F46" s="65">
        <v>12667000</v>
      </c>
      <c r="G46" s="68">
        <v>12667000</v>
      </c>
      <c r="H46" s="65"/>
      <c r="I46" s="68"/>
      <c r="J46" s="65"/>
      <c r="K46" s="65"/>
      <c r="L46" s="65"/>
      <c r="M46" s="65"/>
      <c r="N46" s="65"/>
      <c r="O46" s="65"/>
      <c r="P46" s="167"/>
    </row>
    <row r="47" spans="1:20" ht="15" customHeight="1" x14ac:dyDescent="0.2">
      <c r="A47" s="61"/>
      <c r="B47" s="61"/>
      <c r="C47" s="175"/>
      <c r="D47" s="82"/>
      <c r="E47" s="68"/>
      <c r="F47" s="65"/>
      <c r="G47" s="68"/>
      <c r="H47" s="65"/>
      <c r="I47" s="68"/>
      <c r="J47" s="65"/>
      <c r="K47" s="65"/>
      <c r="L47" s="65"/>
      <c r="M47" s="65"/>
      <c r="N47" s="65"/>
      <c r="O47" s="65"/>
      <c r="P47" s="68"/>
    </row>
    <row r="48" spans="1:20" ht="15" customHeight="1" x14ac:dyDescent="0.2">
      <c r="A48" s="61" t="s">
        <v>33</v>
      </c>
      <c r="B48" s="61"/>
      <c r="C48" s="175" t="s">
        <v>32</v>
      </c>
      <c r="D48" s="82">
        <f>F48+H48+J48+K48+L48+N48+P48</f>
        <v>15297500</v>
      </c>
      <c r="E48" s="68">
        <f>SUM(G48+I48+J48+N48)</f>
        <v>15297500</v>
      </c>
      <c r="F48" s="65">
        <v>15297500</v>
      </c>
      <c r="G48" s="68">
        <v>15297500</v>
      </c>
      <c r="H48" s="65"/>
      <c r="I48" s="68"/>
      <c r="J48" s="65"/>
      <c r="K48" s="65"/>
      <c r="L48" s="65"/>
      <c r="M48" s="65"/>
      <c r="N48" s="65"/>
      <c r="O48" s="65"/>
      <c r="P48" s="167"/>
    </row>
    <row r="49" spans="1:18" ht="15" customHeight="1" x14ac:dyDescent="0.2">
      <c r="A49" s="61"/>
      <c r="B49" s="61"/>
      <c r="C49" s="175"/>
      <c r="D49" s="82"/>
      <c r="E49" s="68"/>
      <c r="F49" s="65"/>
      <c r="G49" s="68"/>
      <c r="H49" s="65"/>
      <c r="I49" s="68"/>
      <c r="J49" s="65"/>
      <c r="K49" s="65"/>
      <c r="L49" s="65"/>
      <c r="M49" s="65"/>
      <c r="N49" s="65"/>
      <c r="O49" s="65"/>
      <c r="P49" s="68"/>
    </row>
    <row r="50" spans="1:18" ht="15" customHeight="1" x14ac:dyDescent="0.2">
      <c r="A50" s="61" t="s">
        <v>31</v>
      </c>
      <c r="B50" s="61"/>
      <c r="C50" s="175" t="s">
        <v>30</v>
      </c>
      <c r="D50" s="82">
        <f>F50+H50+J50+K50+L50+N50+P50</f>
        <v>1150000</v>
      </c>
      <c r="E50" s="68">
        <f>SUM(G50+I50+J50+N50)</f>
        <v>1150000</v>
      </c>
      <c r="F50" s="65">
        <v>1150000</v>
      </c>
      <c r="G50" s="68">
        <v>1150000</v>
      </c>
      <c r="H50" s="65"/>
      <c r="I50" s="68"/>
      <c r="J50" s="65"/>
      <c r="K50" s="65"/>
      <c r="L50" s="65"/>
      <c r="M50" s="65"/>
      <c r="N50" s="65"/>
      <c r="O50" s="65"/>
      <c r="P50" s="68"/>
    </row>
    <row r="51" spans="1:18" ht="15" customHeight="1" x14ac:dyDescent="0.2">
      <c r="A51" s="61"/>
      <c r="B51" s="61"/>
      <c r="C51" s="175"/>
      <c r="D51" s="82"/>
      <c r="E51" s="68"/>
      <c r="F51" s="65"/>
      <c r="G51" s="68"/>
      <c r="H51" s="65"/>
      <c r="I51" s="68"/>
      <c r="J51" s="65"/>
      <c r="K51" s="65"/>
      <c r="L51" s="65"/>
      <c r="M51" s="65"/>
      <c r="N51" s="65"/>
      <c r="O51" s="65"/>
      <c r="P51" s="68"/>
    </row>
    <row r="52" spans="1:18" ht="15" customHeight="1" x14ac:dyDescent="0.2">
      <c r="A52" s="61" t="s">
        <v>29</v>
      </c>
      <c r="B52" s="61"/>
      <c r="C52" s="175" t="s">
        <v>28</v>
      </c>
      <c r="D52" s="82">
        <f>F52+H52+J52+K52+L52+N52+P52</f>
        <v>180000</v>
      </c>
      <c r="E52" s="68">
        <f>SUM(G52+I52+J52+N52)</f>
        <v>180000</v>
      </c>
      <c r="F52" s="65">
        <v>20000</v>
      </c>
      <c r="G52" s="68">
        <v>20000</v>
      </c>
      <c r="H52" s="65">
        <v>160000</v>
      </c>
      <c r="I52" s="68">
        <v>160000</v>
      </c>
      <c r="J52" s="65"/>
      <c r="K52" s="65"/>
      <c r="L52" s="65"/>
      <c r="M52" s="65"/>
      <c r="N52" s="65"/>
      <c r="O52" s="65"/>
      <c r="P52" s="167"/>
    </row>
    <row r="53" spans="1:18" ht="15" customHeight="1" x14ac:dyDescent="0.2">
      <c r="A53" s="61"/>
      <c r="B53" s="61"/>
      <c r="C53" s="175"/>
      <c r="D53" s="82"/>
      <c r="E53" s="68"/>
      <c r="F53" s="65"/>
      <c r="G53" s="68"/>
      <c r="H53" s="65"/>
      <c r="I53" s="68"/>
      <c r="J53" s="65"/>
      <c r="K53" s="65"/>
      <c r="L53" s="65"/>
      <c r="M53" s="65"/>
      <c r="N53" s="65"/>
      <c r="O53" s="65"/>
      <c r="P53" s="68"/>
    </row>
    <row r="54" spans="1:18" ht="15" customHeight="1" x14ac:dyDescent="0.2">
      <c r="A54" s="61" t="s">
        <v>27</v>
      </c>
      <c r="B54" s="61"/>
      <c r="C54" s="175" t="s">
        <v>26</v>
      </c>
      <c r="D54" s="82">
        <f>F54+H54+J54+K54+L54+N54+P54</f>
        <v>27105769</v>
      </c>
      <c r="E54" s="68">
        <f>SUM(G54+I54+J54+N54)</f>
        <v>27105769</v>
      </c>
      <c r="F54" s="65">
        <v>27105769</v>
      </c>
      <c r="G54" s="68">
        <v>27105769</v>
      </c>
      <c r="H54" s="65"/>
      <c r="I54" s="68"/>
      <c r="J54" s="65"/>
      <c r="K54" s="65"/>
      <c r="L54" s="65"/>
      <c r="M54" s="65"/>
      <c r="N54" s="65"/>
      <c r="O54" s="65"/>
      <c r="P54" s="68"/>
    </row>
    <row r="55" spans="1:18" ht="15" customHeight="1" x14ac:dyDescent="0.2">
      <c r="A55" s="61"/>
      <c r="B55" s="61"/>
      <c r="C55" s="175"/>
      <c r="D55" s="82"/>
      <c r="E55" s="68"/>
      <c r="F55" s="65"/>
      <c r="G55" s="68"/>
      <c r="H55" s="65"/>
      <c r="I55" s="68"/>
      <c r="J55" s="65"/>
      <c r="K55" s="65"/>
      <c r="L55" s="65"/>
      <c r="M55" s="65"/>
      <c r="N55" s="65"/>
      <c r="O55" s="65"/>
      <c r="P55" s="68"/>
    </row>
    <row r="56" spans="1:18" ht="15" customHeight="1" x14ac:dyDescent="0.2">
      <c r="A56" s="61" t="s">
        <v>25</v>
      </c>
      <c r="B56" s="61"/>
      <c r="C56" s="175" t="s">
        <v>24</v>
      </c>
      <c r="D56" s="82">
        <f>F56+H56+J56+K56+L56+N56+P56</f>
        <v>128750</v>
      </c>
      <c r="E56" s="68">
        <f>SUM(G56+I56+J56+N56)</f>
        <v>128750</v>
      </c>
      <c r="F56" s="65">
        <v>128750</v>
      </c>
      <c r="G56" s="68">
        <v>128750</v>
      </c>
      <c r="H56" s="65"/>
      <c r="I56" s="68"/>
      <c r="J56" s="65"/>
      <c r="K56" s="65"/>
      <c r="L56" s="65"/>
      <c r="M56" s="65"/>
      <c r="N56" s="65"/>
      <c r="O56" s="65"/>
      <c r="P56" s="68"/>
    </row>
    <row r="57" spans="1:18" ht="15" customHeight="1" x14ac:dyDescent="0.2">
      <c r="A57" s="61"/>
      <c r="B57" s="61"/>
      <c r="C57" s="175"/>
      <c r="D57" s="82"/>
      <c r="E57" s="68"/>
      <c r="F57" s="65"/>
      <c r="G57" s="68"/>
      <c r="H57" s="65"/>
      <c r="I57" s="68"/>
      <c r="J57" s="65"/>
      <c r="K57" s="65"/>
      <c r="L57" s="65"/>
      <c r="M57" s="65"/>
      <c r="N57" s="65"/>
      <c r="O57" s="65"/>
      <c r="P57" s="68"/>
    </row>
    <row r="58" spans="1:18" ht="15" customHeight="1" x14ac:dyDescent="0.2">
      <c r="A58" s="61" t="s">
        <v>23</v>
      </c>
      <c r="B58" s="61"/>
      <c r="C58" s="175" t="s">
        <v>22</v>
      </c>
      <c r="D58" s="82">
        <f>F58+H58+J58+K58+L58+N58+P58</f>
        <v>411689</v>
      </c>
      <c r="E58" s="68">
        <f>SUM(G58+I58+J58+N58)</f>
        <v>411689</v>
      </c>
      <c r="F58" s="65">
        <v>111689</v>
      </c>
      <c r="G58" s="68">
        <v>111689</v>
      </c>
      <c r="H58" s="65">
        <v>300000</v>
      </c>
      <c r="I58" s="68">
        <v>300000</v>
      </c>
      <c r="J58" s="65"/>
      <c r="K58" s="65"/>
      <c r="L58" s="65"/>
      <c r="M58" s="65"/>
      <c r="N58" s="65"/>
      <c r="O58" s="65"/>
      <c r="P58" s="167"/>
    </row>
    <row r="59" spans="1:18" ht="15" customHeight="1" x14ac:dyDescent="0.2">
      <c r="A59" s="61"/>
      <c r="B59" s="61"/>
      <c r="C59" s="175"/>
      <c r="D59" s="82"/>
      <c r="E59" s="68"/>
      <c r="F59" s="65"/>
      <c r="G59" s="68"/>
      <c r="H59" s="65"/>
      <c r="I59" s="68"/>
      <c r="J59" s="65"/>
      <c r="K59" s="65"/>
      <c r="L59" s="65"/>
      <c r="M59" s="65"/>
      <c r="N59" s="65"/>
      <c r="O59" s="65"/>
      <c r="P59" s="68"/>
    </row>
    <row r="60" spans="1:18" ht="15" customHeight="1" x14ac:dyDescent="0.2">
      <c r="A60" s="61" t="s">
        <v>21</v>
      </c>
      <c r="B60" s="61" t="s">
        <v>206</v>
      </c>
      <c r="C60" s="175" t="s">
        <v>20</v>
      </c>
      <c r="D60" s="82">
        <f>F60+H60+J60+K60+L60+N60+P60</f>
        <v>6110000</v>
      </c>
      <c r="E60" s="68">
        <f>SUM(G60+I60+J60+N60)</f>
        <v>6110000</v>
      </c>
      <c r="F60" s="65">
        <v>705000</v>
      </c>
      <c r="G60" s="68">
        <v>705000</v>
      </c>
      <c r="H60" s="65">
        <f>328000+1100000</f>
        <v>1428000</v>
      </c>
      <c r="I60" s="68">
        <v>1428000</v>
      </c>
      <c r="J60" s="65">
        <v>3977000</v>
      </c>
      <c r="K60" s="65"/>
      <c r="L60" s="65"/>
      <c r="M60" s="65"/>
      <c r="N60" s="65"/>
      <c r="O60" s="65"/>
      <c r="P60" s="167"/>
      <c r="Q60" s="1" t="s">
        <v>148</v>
      </c>
    </row>
    <row r="61" spans="1:18" ht="15" customHeight="1" x14ac:dyDescent="0.2">
      <c r="A61" s="61"/>
      <c r="B61" s="61"/>
      <c r="C61" s="175"/>
      <c r="D61" s="82"/>
      <c r="E61" s="68"/>
      <c r="F61" s="65"/>
      <c r="G61" s="68"/>
      <c r="H61" s="65"/>
      <c r="I61" s="68"/>
      <c r="J61" s="65"/>
      <c r="K61" s="65"/>
      <c r="L61" s="65"/>
      <c r="M61" s="65"/>
      <c r="N61" s="65"/>
      <c r="O61" s="65"/>
      <c r="P61" s="68"/>
    </row>
    <row r="62" spans="1:18" ht="15" customHeight="1" thickBot="1" x14ac:dyDescent="0.25">
      <c r="A62" s="61" t="s">
        <v>19</v>
      </c>
      <c r="B62" s="61"/>
      <c r="C62" s="175" t="s">
        <v>18</v>
      </c>
      <c r="D62" s="82">
        <f>F62+H62+J62+K62+L62+N62+P62</f>
        <v>1250000</v>
      </c>
      <c r="E62" s="68">
        <f>SUM(G62+I62+J62+L62+N62)</f>
        <v>1250000</v>
      </c>
      <c r="F62" s="75"/>
      <c r="G62" s="68"/>
      <c r="H62" s="75">
        <v>1000000</v>
      </c>
      <c r="I62" s="68">
        <v>1000000</v>
      </c>
      <c r="J62" s="75">
        <v>50000</v>
      </c>
      <c r="K62" s="75"/>
      <c r="L62" s="75">
        <v>200000</v>
      </c>
      <c r="M62" s="75"/>
      <c r="N62" s="75"/>
      <c r="O62" s="75"/>
      <c r="P62" s="93"/>
    </row>
    <row r="63" spans="1:18" ht="15" customHeight="1" x14ac:dyDescent="0.2">
      <c r="A63" s="61"/>
      <c r="B63" s="61"/>
      <c r="C63" s="88"/>
      <c r="D63" s="66"/>
      <c r="E63" s="67"/>
      <c r="F63" s="65"/>
      <c r="G63" s="67"/>
      <c r="H63" s="65"/>
      <c r="I63" s="67"/>
      <c r="J63" s="65"/>
      <c r="K63" s="65"/>
      <c r="L63" s="65"/>
      <c r="M63" s="65"/>
      <c r="N63" s="65"/>
      <c r="O63" s="65"/>
      <c r="P63" s="67"/>
    </row>
    <row r="64" spans="1:18" ht="21" customHeight="1" thickBot="1" x14ac:dyDescent="0.25">
      <c r="A64" s="61"/>
      <c r="B64" s="61"/>
      <c r="C64" s="68" t="s">
        <v>17</v>
      </c>
      <c r="D64" s="91">
        <f>F64+H64+J64+K64+L64+N64+P64</f>
        <v>79194940</v>
      </c>
      <c r="E64" s="101">
        <f>SUM(G64+I64+J64+L64+N64)</f>
        <v>79709102</v>
      </c>
      <c r="F64" s="104">
        <f t="shared" ref="F64:J64" si="5">SUM(F44:F62)</f>
        <v>58754103</v>
      </c>
      <c r="G64" s="101">
        <f t="shared" si="5"/>
        <v>58856935</v>
      </c>
      <c r="H64" s="104">
        <f t="shared" si="5"/>
        <v>14882400</v>
      </c>
      <c r="I64" s="101">
        <f t="shared" si="5"/>
        <v>15293730</v>
      </c>
      <c r="J64" s="91">
        <f t="shared" si="5"/>
        <v>4558437</v>
      </c>
      <c r="K64" s="91"/>
      <c r="L64" s="91">
        <f>SUM(L44:L62)</f>
        <v>200000</v>
      </c>
      <c r="M64" s="91">
        <f>SUM(M44:M62)</f>
        <v>0</v>
      </c>
      <c r="N64" s="91">
        <f>SUM(N44:N62)</f>
        <v>800000</v>
      </c>
      <c r="O64" s="91">
        <f>SUM(O44:O62)</f>
        <v>0</v>
      </c>
      <c r="P64" s="169"/>
      <c r="Q64" s="122"/>
      <c r="R64" s="122"/>
    </row>
    <row r="65" spans="1:19" ht="15" customHeight="1" x14ac:dyDescent="0.2">
      <c r="A65" s="61"/>
      <c r="B65" s="61"/>
      <c r="C65" s="68"/>
      <c r="D65" s="82"/>
      <c r="E65" s="69"/>
      <c r="F65" s="66"/>
      <c r="G65" s="162"/>
      <c r="H65" s="66"/>
      <c r="I65" s="67"/>
      <c r="J65" s="84"/>
      <c r="K65" s="85"/>
      <c r="L65" s="66"/>
      <c r="M65" s="66"/>
      <c r="N65" s="66"/>
      <c r="O65" s="66"/>
      <c r="P65" s="67"/>
      <c r="Q65" s="82"/>
      <c r="R65" s="82"/>
    </row>
    <row r="66" spans="1:19" ht="15" customHeight="1" x14ac:dyDescent="0.2">
      <c r="A66" s="61" t="s">
        <v>16</v>
      </c>
      <c r="B66" s="61"/>
      <c r="C66" s="175" t="s">
        <v>15</v>
      </c>
      <c r="D66" s="82">
        <f>F66+H66+K66+L66+M66+O66+Q66</f>
        <v>186611</v>
      </c>
      <c r="E66" s="69">
        <f t="shared" ref="E66" si="6">SUM(G66+J66+K66+M66+O66)</f>
        <v>186611</v>
      </c>
      <c r="F66" s="65">
        <v>186611</v>
      </c>
      <c r="G66" s="68">
        <v>186611</v>
      </c>
      <c r="H66" s="65"/>
      <c r="I66" s="69"/>
      <c r="J66" s="85"/>
      <c r="K66" s="65"/>
      <c r="L66" s="65"/>
      <c r="M66" s="65"/>
      <c r="N66" s="65"/>
      <c r="O66" s="65"/>
      <c r="P66" s="68"/>
      <c r="Q66" s="82"/>
      <c r="R66" s="122"/>
    </row>
    <row r="67" spans="1:19" ht="15" customHeight="1" thickBot="1" x14ac:dyDescent="0.25">
      <c r="A67" s="61"/>
      <c r="B67" s="61"/>
      <c r="C67" s="175"/>
      <c r="D67" s="82"/>
      <c r="E67" s="90"/>
      <c r="F67" s="75"/>
      <c r="G67" s="90"/>
      <c r="H67" s="75"/>
      <c r="I67" s="163"/>
      <c r="J67" s="85"/>
      <c r="K67" s="75"/>
      <c r="L67" s="75"/>
      <c r="M67" s="75"/>
      <c r="N67" s="75"/>
      <c r="O67" s="75"/>
      <c r="P67" s="93"/>
      <c r="Q67" s="82"/>
      <c r="R67" s="122"/>
    </row>
    <row r="68" spans="1:19" ht="15" customHeight="1" x14ac:dyDescent="0.2">
      <c r="A68" s="61"/>
      <c r="B68" s="61"/>
      <c r="C68" s="68"/>
      <c r="D68" s="66"/>
      <c r="E68" s="87"/>
      <c r="F68" s="66"/>
      <c r="G68" s="87"/>
      <c r="H68" s="66"/>
      <c r="I68" s="162"/>
      <c r="J68" s="161"/>
      <c r="K68" s="66"/>
      <c r="L68" s="66"/>
      <c r="M68" s="66"/>
      <c r="N68" s="66"/>
      <c r="O68" s="66"/>
      <c r="P68" s="67"/>
      <c r="Q68" s="82"/>
      <c r="R68" s="122"/>
    </row>
    <row r="69" spans="1:19" ht="24.75" customHeight="1" thickBot="1" x14ac:dyDescent="0.25">
      <c r="A69" s="61" t="s">
        <v>239</v>
      </c>
      <c r="B69" s="61"/>
      <c r="C69" s="179" t="s">
        <v>14</v>
      </c>
      <c r="D69" s="178">
        <f>F69+H69+J69+K69+L69+N69+P69</f>
        <v>675760427</v>
      </c>
      <c r="E69" s="95">
        <f>SUM(G69+I69+J69+K69+L69+N69+P69+M69+O69)</f>
        <v>675760427</v>
      </c>
      <c r="F69" s="76">
        <f>F66+F64+F42</f>
        <v>277190668</v>
      </c>
      <c r="G69" s="94">
        <f>G66+G64+G42</f>
        <v>271865668</v>
      </c>
      <c r="H69" s="77">
        <f>H66+H64+H42</f>
        <v>356221034</v>
      </c>
      <c r="I69" s="95">
        <f>I66+I64+I42</f>
        <v>361546034</v>
      </c>
      <c r="J69" s="77">
        <f>J66+J64+J42</f>
        <v>5860316</v>
      </c>
      <c r="K69" s="77">
        <f t="shared" ref="K69:P69" si="7">L66+K64+K42</f>
        <v>0</v>
      </c>
      <c r="L69" s="77">
        <f t="shared" si="7"/>
        <v>2888052</v>
      </c>
      <c r="M69" s="77">
        <f t="shared" si="7"/>
        <v>0</v>
      </c>
      <c r="N69" s="77">
        <f t="shared" si="7"/>
        <v>11397637</v>
      </c>
      <c r="O69" s="77">
        <f t="shared" si="7"/>
        <v>0</v>
      </c>
      <c r="P69" s="94">
        <f t="shared" si="7"/>
        <v>22202720</v>
      </c>
    </row>
    <row r="70" spans="1:19" ht="22.5" customHeight="1" thickTop="1" x14ac:dyDescent="0.2">
      <c r="A70" s="61"/>
      <c r="B70" s="61"/>
      <c r="C70" s="78"/>
      <c r="D70" s="78"/>
      <c r="E70" s="78"/>
      <c r="G70" s="73"/>
      <c r="H70" s="73"/>
      <c r="I70" s="89"/>
      <c r="J70" s="73"/>
      <c r="K70" s="73"/>
      <c r="L70" s="89"/>
      <c r="M70" s="73"/>
      <c r="N70" s="73"/>
      <c r="O70" s="73"/>
      <c r="P70" s="73"/>
      <c r="Q70" s="73"/>
      <c r="R70" s="73"/>
      <c r="S70" s="73"/>
    </row>
    <row r="71" spans="1:19" ht="15" customHeight="1" x14ac:dyDescent="0.2">
      <c r="A71" s="61"/>
      <c r="B71" s="61"/>
      <c r="C71" s="148"/>
      <c r="D71" s="147"/>
      <c r="E71" s="149"/>
      <c r="G71" s="147"/>
      <c r="H71" s="147"/>
      <c r="I71" s="147"/>
      <c r="J71" s="147"/>
      <c r="K71" s="149"/>
      <c r="L71" s="149"/>
      <c r="M71" s="147"/>
      <c r="N71" s="147"/>
      <c r="O71" s="147"/>
      <c r="P71" s="147"/>
      <c r="Q71" s="147"/>
      <c r="R71" s="147"/>
      <c r="S71" s="147"/>
    </row>
    <row r="72" spans="1:19" ht="15" customHeight="1" x14ac:dyDescent="0.2">
      <c r="A72" s="61"/>
      <c r="B72" s="113"/>
      <c r="C72" s="150"/>
      <c r="D72" s="186"/>
      <c r="E72" s="186"/>
      <c r="F72" s="85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</row>
    <row r="73" spans="1:19" ht="15" customHeight="1" thickBot="1" x14ac:dyDescent="0.25">
      <c r="A73" s="61"/>
      <c r="B73" s="113"/>
      <c r="C73" s="150"/>
      <c r="D73" s="186"/>
      <c r="E73" s="186"/>
      <c r="F73" s="85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</row>
    <row r="74" spans="1:19" ht="22.5" customHeight="1" x14ac:dyDescent="0.2">
      <c r="A74" s="135"/>
      <c r="B74" s="136"/>
      <c r="C74" s="142" t="s">
        <v>152</v>
      </c>
      <c r="D74" s="295" t="s">
        <v>151</v>
      </c>
      <c r="E74" s="296"/>
      <c r="F74" s="306" t="s">
        <v>154</v>
      </c>
      <c r="G74" s="307"/>
      <c r="H74" s="140"/>
      <c r="I74" s="283"/>
      <c r="J74" s="283" t="s">
        <v>230</v>
      </c>
      <c r="K74" s="140"/>
      <c r="L74" s="140"/>
      <c r="M74" s="140"/>
      <c r="N74" s="140"/>
      <c r="O74" s="140"/>
      <c r="P74" s="140"/>
      <c r="Q74" s="140"/>
      <c r="R74" s="140"/>
      <c r="S74" s="140"/>
    </row>
    <row r="75" spans="1:19" ht="28.5" customHeight="1" thickBot="1" x14ac:dyDescent="0.25">
      <c r="A75" s="138"/>
      <c r="B75" s="139"/>
      <c r="C75" s="143"/>
      <c r="D75" s="140" t="s">
        <v>153</v>
      </c>
      <c r="E75" s="189" t="s">
        <v>154</v>
      </c>
      <c r="F75" s="272" t="s">
        <v>213</v>
      </c>
      <c r="G75" s="273" t="s">
        <v>138</v>
      </c>
      <c r="H75" s="140"/>
      <c r="I75" s="140"/>
      <c r="J75" s="140" t="s">
        <v>223</v>
      </c>
      <c r="K75" s="185">
        <f>G69+E93</f>
        <v>282190668</v>
      </c>
      <c r="L75" s="140"/>
      <c r="M75" s="140"/>
      <c r="N75" s="140"/>
      <c r="O75" s="140"/>
      <c r="P75" s="140"/>
      <c r="Q75" s="140"/>
      <c r="R75" s="140"/>
      <c r="S75" s="140"/>
    </row>
    <row r="76" spans="1:19" ht="28.5" customHeight="1" x14ac:dyDescent="0.2">
      <c r="A76" s="297" t="s">
        <v>135</v>
      </c>
      <c r="B76" s="151" t="s">
        <v>207</v>
      </c>
      <c r="C76" s="144" t="s">
        <v>94</v>
      </c>
      <c r="D76" s="188"/>
      <c r="E76" s="194">
        <v>3000000</v>
      </c>
      <c r="F76" s="191"/>
      <c r="G76" s="155"/>
      <c r="H76" s="140"/>
      <c r="I76" s="140"/>
      <c r="J76" s="140" t="s">
        <v>224</v>
      </c>
      <c r="K76" s="185">
        <f>N69</f>
        <v>11397637</v>
      </c>
      <c r="L76" s="140"/>
      <c r="M76" s="140"/>
      <c r="N76" s="140"/>
      <c r="O76" s="140"/>
      <c r="P76" s="140"/>
      <c r="Q76" s="140"/>
      <c r="R76" s="140"/>
      <c r="S76" s="140"/>
    </row>
    <row r="77" spans="1:19" ht="28.5" customHeight="1" x14ac:dyDescent="0.2">
      <c r="A77" s="297"/>
      <c r="B77" s="151" t="s">
        <v>208</v>
      </c>
      <c r="C77" s="144" t="s">
        <v>137</v>
      </c>
      <c r="D77" s="185">
        <v>2250000</v>
      </c>
      <c r="E77" s="194">
        <v>3250000</v>
      </c>
      <c r="F77" s="191"/>
      <c r="G77" s="155"/>
      <c r="H77" s="140"/>
      <c r="I77" s="140"/>
      <c r="J77" s="140" t="s">
        <v>225</v>
      </c>
      <c r="K77" s="185">
        <f>F93+I69</f>
        <v>389546034</v>
      </c>
      <c r="L77" s="140"/>
      <c r="M77" s="140"/>
      <c r="N77" s="140"/>
      <c r="O77" s="140"/>
      <c r="P77" s="140"/>
      <c r="Q77" s="140"/>
      <c r="R77" s="140"/>
      <c r="S77" s="140"/>
    </row>
    <row r="78" spans="1:19" ht="28.5" customHeight="1" x14ac:dyDescent="0.2">
      <c r="A78" s="297"/>
      <c r="B78" s="151" t="s">
        <v>139</v>
      </c>
      <c r="C78" s="144" t="s">
        <v>93</v>
      </c>
      <c r="D78" s="185"/>
      <c r="E78" s="194">
        <v>750000</v>
      </c>
      <c r="F78" s="191"/>
      <c r="G78" s="155"/>
      <c r="H78" s="140"/>
      <c r="I78" s="140"/>
      <c r="J78" s="140" t="s">
        <v>138</v>
      </c>
      <c r="K78" s="185">
        <f>G93+K69</f>
        <v>500000</v>
      </c>
      <c r="L78" s="140"/>
      <c r="M78" s="140"/>
      <c r="N78" s="140"/>
      <c r="O78" s="140"/>
      <c r="P78" s="140"/>
      <c r="Q78" s="140"/>
      <c r="R78" s="140"/>
      <c r="S78" s="140"/>
    </row>
    <row r="79" spans="1:19" ht="28.5" customHeight="1" x14ac:dyDescent="0.2">
      <c r="A79" s="297"/>
      <c r="B79" s="151" t="s">
        <v>209</v>
      </c>
      <c r="C79" s="144" t="s">
        <v>128</v>
      </c>
      <c r="D79" s="185"/>
      <c r="E79" s="194">
        <v>375000</v>
      </c>
      <c r="F79" s="191"/>
      <c r="G79" s="155"/>
      <c r="H79" s="140"/>
      <c r="I79" s="140"/>
      <c r="J79" s="140" t="s">
        <v>226</v>
      </c>
      <c r="K79" s="185">
        <f>P69</f>
        <v>22202720</v>
      </c>
      <c r="L79" s="140"/>
      <c r="M79" s="140"/>
      <c r="N79" s="140"/>
      <c r="O79" s="140"/>
      <c r="P79" s="140"/>
      <c r="Q79" s="140"/>
      <c r="R79" s="140"/>
      <c r="S79" s="140"/>
    </row>
    <row r="80" spans="1:19" ht="28.5" customHeight="1" x14ac:dyDescent="0.2">
      <c r="A80" s="297"/>
      <c r="B80" s="151" t="s">
        <v>210</v>
      </c>
      <c r="C80" s="144" t="s">
        <v>92</v>
      </c>
      <c r="D80" s="185">
        <v>1500000</v>
      </c>
      <c r="E80" s="194">
        <v>1500000</v>
      </c>
      <c r="F80" s="191"/>
      <c r="G80" s="155"/>
      <c r="H80" s="140"/>
      <c r="I80" s="140"/>
      <c r="J80" s="140" t="s">
        <v>227</v>
      </c>
      <c r="K80" s="185">
        <f>L69</f>
        <v>2888052</v>
      </c>
      <c r="L80" s="140"/>
      <c r="M80" s="140"/>
      <c r="N80" s="140"/>
      <c r="O80" s="140"/>
      <c r="P80" s="140"/>
      <c r="Q80" s="140"/>
      <c r="R80" s="140"/>
      <c r="S80" s="140"/>
    </row>
    <row r="81" spans="1:19" ht="28.5" customHeight="1" x14ac:dyDescent="0.2">
      <c r="A81" s="297"/>
      <c r="B81" s="151" t="s">
        <v>211</v>
      </c>
      <c r="C81" s="144" t="s">
        <v>129</v>
      </c>
      <c r="D81" s="185"/>
      <c r="E81" s="194">
        <v>50000</v>
      </c>
      <c r="F81" s="191"/>
      <c r="G81" s="155"/>
      <c r="H81" s="140"/>
      <c r="I81" s="140"/>
      <c r="J81" s="140" t="s">
        <v>228</v>
      </c>
      <c r="K81" s="185">
        <v>1833316</v>
      </c>
      <c r="L81" s="140"/>
      <c r="M81" s="140"/>
      <c r="N81" s="140"/>
      <c r="O81" s="140"/>
      <c r="P81" s="140"/>
      <c r="Q81" s="140"/>
      <c r="R81" s="140"/>
      <c r="S81" s="140"/>
    </row>
    <row r="82" spans="1:19" ht="28.5" customHeight="1" x14ac:dyDescent="0.2">
      <c r="A82" s="297"/>
      <c r="B82" s="151" t="s">
        <v>212</v>
      </c>
      <c r="C82" s="144" t="s">
        <v>155</v>
      </c>
      <c r="D82" s="185">
        <v>1000000</v>
      </c>
      <c r="E82" s="194">
        <v>1000000</v>
      </c>
      <c r="F82" s="191"/>
      <c r="G82" s="155"/>
      <c r="H82" s="140"/>
      <c r="I82" s="140"/>
      <c r="J82" s="285" t="s">
        <v>229</v>
      </c>
      <c r="K82" s="71">
        <f>J69-K81</f>
        <v>4027000</v>
      </c>
      <c r="L82" s="140"/>
      <c r="M82" s="140"/>
      <c r="N82" s="140"/>
      <c r="O82" s="140"/>
      <c r="P82" s="140"/>
      <c r="Q82" s="140"/>
      <c r="R82" s="140"/>
      <c r="S82" s="140"/>
    </row>
    <row r="83" spans="1:19" ht="28.5" customHeight="1" x14ac:dyDescent="0.2">
      <c r="A83" s="297"/>
      <c r="B83" s="151" t="s">
        <v>126</v>
      </c>
      <c r="C83" s="144" t="s">
        <v>140</v>
      </c>
      <c r="D83" s="185"/>
      <c r="E83" s="194">
        <v>400000</v>
      </c>
      <c r="F83" s="191"/>
      <c r="G83" s="155"/>
      <c r="H83" s="140"/>
      <c r="I83" s="140"/>
      <c r="J83" s="284" t="s">
        <v>231</v>
      </c>
      <c r="K83" s="73">
        <f>SUM(K75:K82)</f>
        <v>714585427</v>
      </c>
      <c r="L83" s="140"/>
      <c r="M83" s="140"/>
      <c r="N83" s="140"/>
      <c r="O83" s="140"/>
      <c r="P83" s="140"/>
      <c r="Q83" s="140"/>
      <c r="R83" s="140"/>
      <c r="S83" s="140"/>
    </row>
    <row r="84" spans="1:19" ht="9" customHeight="1" x14ac:dyDescent="0.2">
      <c r="A84" s="138"/>
      <c r="B84" s="139"/>
      <c r="C84" s="144"/>
      <c r="D84" s="185"/>
      <c r="E84" s="194"/>
      <c r="F84" s="191"/>
      <c r="G84" s="155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</row>
    <row r="85" spans="1:19" ht="21.75" customHeight="1" x14ac:dyDescent="0.2">
      <c r="A85" s="138" t="s">
        <v>142</v>
      </c>
      <c r="B85" s="151" t="s">
        <v>204</v>
      </c>
      <c r="C85" s="144" t="s">
        <v>143</v>
      </c>
      <c r="D85" s="61"/>
      <c r="E85" s="155"/>
      <c r="F85" s="191">
        <v>24500000</v>
      </c>
      <c r="G85" s="155"/>
      <c r="H85" s="140"/>
      <c r="I85" s="140"/>
      <c r="J85" s="140"/>
      <c r="K85" s="140"/>
      <c r="L85" s="185"/>
      <c r="M85" s="140"/>
      <c r="N85" s="140"/>
      <c r="O85" s="140"/>
      <c r="P85" s="140"/>
      <c r="Q85" s="140"/>
      <c r="R85" s="140"/>
      <c r="S85" s="140"/>
    </row>
    <row r="86" spans="1:19" ht="8.25" customHeight="1" x14ac:dyDescent="0.2">
      <c r="A86" s="138"/>
      <c r="B86" s="139"/>
      <c r="C86" s="145"/>
      <c r="D86" s="61"/>
      <c r="E86" s="155"/>
      <c r="F86" s="191"/>
      <c r="G86" s="155"/>
      <c r="H86" s="140"/>
      <c r="I86" s="140"/>
      <c r="J86" s="140"/>
      <c r="K86" s="140"/>
      <c r="L86" s="185"/>
      <c r="M86" s="140"/>
      <c r="N86" s="140"/>
      <c r="O86" s="140"/>
      <c r="P86" s="140"/>
      <c r="Q86" s="140"/>
      <c r="R86" s="140"/>
      <c r="S86" s="140"/>
    </row>
    <row r="87" spans="1:19" ht="30" customHeight="1" x14ac:dyDescent="0.2">
      <c r="A87" s="298" t="s">
        <v>144</v>
      </c>
      <c r="B87" s="151" t="s">
        <v>205</v>
      </c>
      <c r="C87" s="144" t="s">
        <v>146</v>
      </c>
      <c r="D87" s="61"/>
      <c r="E87" s="155"/>
      <c r="F87" s="191">
        <v>3000000</v>
      </c>
      <c r="G87" s="155"/>
      <c r="H87" s="140"/>
      <c r="I87" s="140"/>
      <c r="J87" s="140"/>
      <c r="K87" s="140"/>
      <c r="L87" s="185"/>
      <c r="M87" s="140"/>
      <c r="N87" s="140"/>
      <c r="O87" s="140"/>
      <c r="P87" s="140"/>
      <c r="Q87" s="140"/>
      <c r="R87" s="140"/>
      <c r="S87" s="140"/>
    </row>
    <row r="88" spans="1:19" ht="9" customHeight="1" x14ac:dyDescent="0.2">
      <c r="A88" s="298"/>
      <c r="B88" s="139"/>
      <c r="C88" s="145"/>
      <c r="D88" s="61"/>
      <c r="E88" s="155"/>
      <c r="F88" s="191"/>
      <c r="G88" s="155"/>
      <c r="H88" s="140"/>
      <c r="I88" s="140"/>
      <c r="J88" s="140"/>
      <c r="K88" s="140"/>
      <c r="L88" s="185"/>
      <c r="M88" s="140"/>
      <c r="N88" s="140"/>
      <c r="O88" s="140"/>
      <c r="P88" s="140"/>
      <c r="Q88" s="140"/>
      <c r="R88" s="140"/>
      <c r="S88" s="140"/>
    </row>
    <row r="89" spans="1:19" ht="21.75" customHeight="1" x14ac:dyDescent="0.2">
      <c r="A89" s="298"/>
      <c r="B89" s="61" t="s">
        <v>206</v>
      </c>
      <c r="C89" s="153" t="s">
        <v>147</v>
      </c>
      <c r="D89" s="61"/>
      <c r="E89" s="190"/>
      <c r="F89" s="192">
        <v>500000</v>
      </c>
      <c r="G89" s="155"/>
      <c r="H89" s="140"/>
      <c r="I89" s="140"/>
      <c r="J89" s="140"/>
      <c r="K89" s="140"/>
      <c r="L89" s="185"/>
      <c r="M89" s="140"/>
      <c r="N89" s="140"/>
      <c r="O89" s="140"/>
      <c r="P89" s="140"/>
      <c r="Q89" s="140"/>
      <c r="R89" s="140"/>
      <c r="S89" s="140"/>
    </row>
    <row r="90" spans="1:19" ht="6.75" customHeight="1" x14ac:dyDescent="0.2">
      <c r="A90" s="138"/>
      <c r="B90" s="139"/>
      <c r="C90" s="145"/>
      <c r="D90" s="185"/>
      <c r="E90" s="155"/>
      <c r="F90" s="191"/>
      <c r="G90" s="155"/>
      <c r="H90" s="140"/>
      <c r="I90" s="140"/>
      <c r="J90" s="140"/>
      <c r="K90" s="140"/>
      <c r="L90" s="185"/>
      <c r="M90" s="140"/>
      <c r="N90" s="140"/>
      <c r="O90" s="140"/>
      <c r="P90" s="140"/>
      <c r="Q90" s="140"/>
      <c r="R90" s="140"/>
      <c r="S90" s="140"/>
    </row>
    <row r="91" spans="1:19" ht="27" customHeight="1" thickBot="1" x14ac:dyDescent="0.25">
      <c r="A91" s="141" t="s">
        <v>233</v>
      </c>
      <c r="B91" s="152" t="s">
        <v>139</v>
      </c>
      <c r="C91" s="146" t="s">
        <v>93</v>
      </c>
      <c r="D91" s="187"/>
      <c r="E91" s="155"/>
      <c r="F91" s="193"/>
      <c r="G91" s="155">
        <v>500000</v>
      </c>
      <c r="H91" s="140"/>
      <c r="I91" s="140"/>
      <c r="J91" s="140"/>
      <c r="K91" s="140"/>
      <c r="L91" s="185"/>
      <c r="M91" s="140"/>
      <c r="N91" s="140"/>
      <c r="O91" s="140"/>
      <c r="P91" s="140"/>
      <c r="Q91" s="140"/>
      <c r="R91" s="140"/>
      <c r="S91" s="140"/>
    </row>
    <row r="92" spans="1:19" ht="15" customHeight="1" x14ac:dyDescent="0.2">
      <c r="A92" s="138"/>
      <c r="B92" s="139"/>
      <c r="C92" s="154"/>
      <c r="D92" s="137"/>
      <c r="E92" s="137"/>
      <c r="F92" s="137"/>
      <c r="G92" s="137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</row>
    <row r="93" spans="1:19" ht="15" customHeight="1" x14ac:dyDescent="0.2">
      <c r="A93" s="61"/>
      <c r="B93" s="113"/>
      <c r="C93" s="79"/>
      <c r="D93" s="78">
        <f>SUM(D76:D91)</f>
        <v>4750000</v>
      </c>
      <c r="E93" s="78">
        <f t="shared" ref="E93:G93" si="8">SUM(E76:E91)</f>
        <v>10325000</v>
      </c>
      <c r="F93" s="78">
        <f t="shared" si="8"/>
        <v>28000000</v>
      </c>
      <c r="G93" s="78">
        <f t="shared" si="8"/>
        <v>500000</v>
      </c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</row>
    <row r="94" spans="1:19" ht="15" customHeight="1" x14ac:dyDescent="0.15">
      <c r="C94" s="7"/>
      <c r="D94" s="6"/>
      <c r="E94" s="6"/>
      <c r="F94" s="6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1:19" ht="15" customHeight="1" x14ac:dyDescent="0.2">
      <c r="A95" s="116" t="s">
        <v>131</v>
      </c>
      <c r="B95" s="117"/>
      <c r="C95" s="118" t="s">
        <v>238</v>
      </c>
      <c r="D95" s="119"/>
      <c r="E95" s="119"/>
      <c r="F95" s="119"/>
      <c r="G95" s="120" t="s">
        <v>130</v>
      </c>
      <c r="H95" s="3"/>
      <c r="I95" s="3"/>
      <c r="J95" s="4"/>
      <c r="K95" s="4"/>
      <c r="L95" s="4"/>
      <c r="M95" s="3"/>
      <c r="N95" s="3"/>
    </row>
    <row r="96" spans="1:19" ht="35.25" customHeight="1" x14ac:dyDescent="0.15">
      <c r="A96" s="293" t="s">
        <v>234</v>
      </c>
      <c r="B96" s="122"/>
      <c r="C96" s="123" t="s">
        <v>13</v>
      </c>
      <c r="D96" s="85"/>
      <c r="E96" s="85"/>
      <c r="F96" s="85"/>
      <c r="G96" s="124">
        <v>4023966</v>
      </c>
      <c r="M96" s="3"/>
    </row>
    <row r="97" spans="1:21" ht="15" customHeight="1" x14ac:dyDescent="0.15">
      <c r="A97" s="293"/>
      <c r="B97" s="122"/>
      <c r="C97" s="125"/>
      <c r="D97" s="85"/>
      <c r="E97" s="85"/>
      <c r="F97" s="85"/>
      <c r="G97" s="124"/>
      <c r="O97" s="2"/>
    </row>
    <row r="98" spans="1:21" ht="41.25" customHeight="1" x14ac:dyDescent="0.15">
      <c r="A98" s="293" t="s">
        <v>237</v>
      </c>
      <c r="B98" s="122"/>
      <c r="C98" s="126" t="s">
        <v>12</v>
      </c>
      <c r="D98" s="85"/>
      <c r="E98" s="85"/>
      <c r="F98" s="85"/>
      <c r="G98" s="124"/>
    </row>
    <row r="99" spans="1:21" s="2" customFormat="1" ht="15" customHeight="1" x14ac:dyDescent="0.15">
      <c r="A99" s="294"/>
      <c r="B99" s="85"/>
      <c r="C99" s="125"/>
      <c r="D99" s="85"/>
      <c r="E99" s="85"/>
      <c r="F99" s="85"/>
      <c r="G99" s="124"/>
      <c r="O99" s="1"/>
      <c r="P99" s="1"/>
      <c r="Q99" s="1"/>
      <c r="R99" s="1"/>
      <c r="S99" s="1"/>
      <c r="T99" s="1"/>
      <c r="U99" s="1"/>
    </row>
    <row r="100" spans="1:21" s="2" customFormat="1" ht="15" customHeight="1" x14ac:dyDescent="0.15">
      <c r="A100" s="294" t="s">
        <v>236</v>
      </c>
      <c r="B100" s="85"/>
      <c r="C100" s="85" t="s">
        <v>235</v>
      </c>
      <c r="D100" s="85"/>
      <c r="E100" s="85"/>
      <c r="F100" s="85"/>
      <c r="G100" s="124"/>
      <c r="O100" s="1"/>
      <c r="P100" s="1"/>
      <c r="Q100" s="1"/>
      <c r="R100" s="1"/>
      <c r="S100" s="1"/>
      <c r="T100" s="1"/>
      <c r="U100" s="1"/>
    </row>
    <row r="101" spans="1:21" s="2" customFormat="1" ht="15" customHeight="1" x14ac:dyDescent="0.15">
      <c r="A101" s="294"/>
      <c r="B101" s="85"/>
      <c r="C101" s="85"/>
      <c r="D101" s="85"/>
      <c r="E101" s="85"/>
      <c r="F101" s="85"/>
      <c r="G101" s="124"/>
      <c r="O101" s="1"/>
      <c r="P101" s="1"/>
      <c r="Q101" s="1"/>
      <c r="R101" s="1"/>
      <c r="S101" s="1"/>
      <c r="T101" s="1"/>
      <c r="U101" s="1"/>
    </row>
    <row r="102" spans="1:21" s="2" customFormat="1" ht="15" customHeight="1" x14ac:dyDescent="0.15">
      <c r="A102" s="294" t="s">
        <v>11</v>
      </c>
      <c r="B102" s="85"/>
      <c r="C102" s="85" t="s">
        <v>10</v>
      </c>
      <c r="D102" s="85"/>
      <c r="E102" s="85"/>
      <c r="F102" s="85"/>
      <c r="G102" s="124">
        <v>20250000</v>
      </c>
      <c r="O102" s="1"/>
      <c r="P102" s="1"/>
      <c r="Q102" s="1"/>
      <c r="R102" s="1"/>
      <c r="S102" s="1"/>
      <c r="T102" s="1"/>
      <c r="U102" s="1"/>
    </row>
    <row r="103" spans="1:21" s="2" customFormat="1" ht="15" customHeight="1" x14ac:dyDescent="0.15">
      <c r="A103" s="294"/>
      <c r="B103" s="85"/>
      <c r="C103" s="85"/>
      <c r="D103" s="85"/>
      <c r="E103" s="85"/>
      <c r="F103" s="85"/>
      <c r="G103" s="124"/>
      <c r="O103" s="1"/>
      <c r="P103" s="1"/>
      <c r="Q103" s="1"/>
      <c r="R103" s="1"/>
      <c r="S103" s="1"/>
      <c r="T103" s="1"/>
      <c r="U103" s="1"/>
    </row>
    <row r="104" spans="1:21" s="2" customFormat="1" ht="15" customHeight="1" x14ac:dyDescent="0.15">
      <c r="A104" s="294" t="s">
        <v>9</v>
      </c>
      <c r="B104" s="85"/>
      <c r="C104" s="85" t="s">
        <v>8</v>
      </c>
      <c r="D104" s="85"/>
      <c r="E104" s="85"/>
      <c r="F104" s="85"/>
      <c r="G104" s="124">
        <v>3911594</v>
      </c>
      <c r="O104" s="1"/>
      <c r="P104" s="1"/>
      <c r="Q104" s="1"/>
      <c r="R104" s="1"/>
      <c r="S104" s="1"/>
      <c r="T104" s="1"/>
      <c r="U104" s="1"/>
    </row>
    <row r="105" spans="1:21" s="2" customFormat="1" ht="15" customHeight="1" x14ac:dyDescent="0.15">
      <c r="A105" s="294"/>
      <c r="B105" s="85"/>
      <c r="C105" s="85"/>
      <c r="D105" s="85"/>
      <c r="E105" s="85"/>
      <c r="F105" s="85"/>
      <c r="G105" s="124"/>
      <c r="O105" s="1"/>
      <c r="P105" s="1"/>
      <c r="Q105" s="1"/>
      <c r="R105" s="1"/>
      <c r="S105" s="1"/>
      <c r="T105" s="1"/>
      <c r="U105" s="1"/>
    </row>
    <row r="106" spans="1:21" s="2" customFormat="1" ht="15" customHeight="1" x14ac:dyDescent="0.15">
      <c r="A106" s="294" t="s">
        <v>7</v>
      </c>
      <c r="B106" s="85"/>
      <c r="C106" s="85" t="s">
        <v>6</v>
      </c>
      <c r="D106" s="85"/>
      <c r="E106" s="85"/>
      <c r="F106" s="85"/>
      <c r="G106" s="124">
        <v>521606</v>
      </c>
      <c r="O106" s="1"/>
      <c r="P106" s="1"/>
      <c r="Q106" s="1"/>
      <c r="R106" s="1"/>
      <c r="S106" s="1"/>
      <c r="T106" s="1"/>
      <c r="U106" s="1"/>
    </row>
    <row r="107" spans="1:21" s="2" customFormat="1" ht="15" customHeight="1" x14ac:dyDescent="0.15">
      <c r="A107" s="294"/>
      <c r="B107" s="85"/>
      <c r="C107" s="85"/>
      <c r="D107" s="85"/>
      <c r="E107" s="85"/>
      <c r="F107" s="85"/>
      <c r="G107" s="124"/>
      <c r="O107" s="1"/>
      <c r="P107" s="1"/>
      <c r="Q107" s="1"/>
      <c r="R107" s="1"/>
      <c r="S107" s="1"/>
      <c r="T107" s="1"/>
      <c r="U107" s="1"/>
    </row>
    <row r="108" spans="1:21" s="2" customFormat="1" ht="15" customHeight="1" x14ac:dyDescent="0.15">
      <c r="A108" s="294" t="s">
        <v>145</v>
      </c>
      <c r="B108" s="85"/>
      <c r="C108" s="85" t="s">
        <v>5</v>
      </c>
      <c r="D108" s="85"/>
      <c r="E108" s="85"/>
      <c r="F108" s="85"/>
      <c r="G108" s="124">
        <v>4250000</v>
      </c>
      <c r="O108" s="1"/>
      <c r="P108" s="1"/>
      <c r="Q108" s="1"/>
      <c r="R108" s="1"/>
      <c r="S108" s="1"/>
      <c r="T108" s="1"/>
      <c r="U108" s="1"/>
    </row>
    <row r="109" spans="1:21" s="2" customFormat="1" ht="15" customHeight="1" x14ac:dyDescent="0.15">
      <c r="A109" s="127"/>
      <c r="B109" s="85"/>
      <c r="C109" s="85"/>
      <c r="D109" s="85"/>
      <c r="E109" s="85"/>
      <c r="F109" s="85"/>
      <c r="G109" s="124"/>
      <c r="O109" s="1"/>
      <c r="P109" s="1"/>
      <c r="Q109" s="1"/>
      <c r="R109" s="1"/>
      <c r="S109" s="1"/>
      <c r="T109" s="1"/>
      <c r="U109" s="1"/>
    </row>
    <row r="110" spans="1:21" s="2" customFormat="1" ht="15" customHeight="1" x14ac:dyDescent="0.15">
      <c r="A110" s="127"/>
      <c r="B110" s="85"/>
      <c r="C110" s="85" t="s">
        <v>4</v>
      </c>
      <c r="D110" s="85"/>
      <c r="E110" s="85"/>
      <c r="F110" s="85"/>
      <c r="G110" s="124">
        <v>1361834</v>
      </c>
      <c r="O110" s="1"/>
      <c r="P110" s="1"/>
      <c r="Q110" s="1"/>
      <c r="R110" s="1"/>
      <c r="S110" s="1"/>
      <c r="T110" s="1"/>
      <c r="U110" s="1"/>
    </row>
    <row r="111" spans="1:21" s="2" customFormat="1" ht="15" customHeight="1" x14ac:dyDescent="0.15">
      <c r="A111" s="127"/>
      <c r="B111" s="85"/>
      <c r="C111" s="85"/>
      <c r="D111" s="85"/>
      <c r="E111" s="85"/>
      <c r="F111" s="85"/>
      <c r="G111" s="124"/>
      <c r="O111" s="1"/>
      <c r="P111" s="1"/>
      <c r="Q111" s="1"/>
      <c r="R111" s="1"/>
      <c r="S111" s="1"/>
      <c r="T111" s="1"/>
      <c r="U111" s="1"/>
    </row>
    <row r="112" spans="1:21" s="2" customFormat="1" ht="15" customHeight="1" x14ac:dyDescent="0.15">
      <c r="A112" s="127"/>
      <c r="B112" s="85"/>
      <c r="C112" s="85" t="s">
        <v>3</v>
      </c>
      <c r="D112" s="85"/>
      <c r="E112" s="85"/>
      <c r="F112" s="85"/>
      <c r="G112" s="124">
        <v>370000</v>
      </c>
      <c r="O112" s="1"/>
      <c r="P112" s="1"/>
      <c r="Q112" s="1"/>
      <c r="R112" s="1"/>
      <c r="S112" s="1"/>
      <c r="T112" s="1"/>
      <c r="U112" s="1"/>
    </row>
    <row r="113" spans="1:8" ht="15" customHeight="1" x14ac:dyDescent="0.15">
      <c r="A113" s="121"/>
      <c r="B113" s="122"/>
      <c r="C113" s="85"/>
      <c r="D113" s="85"/>
      <c r="E113" s="85"/>
      <c r="F113" s="85"/>
      <c r="G113" s="124"/>
    </row>
    <row r="114" spans="1:8" ht="15" customHeight="1" x14ac:dyDescent="0.15">
      <c r="A114" s="121"/>
      <c r="B114" s="122"/>
      <c r="C114" s="85" t="s">
        <v>2</v>
      </c>
      <c r="D114" s="85"/>
      <c r="E114" s="85"/>
      <c r="F114" s="85"/>
      <c r="G114" s="124">
        <v>-140000</v>
      </c>
    </row>
    <row r="115" spans="1:8" ht="15" customHeight="1" x14ac:dyDescent="0.15">
      <c r="A115" s="121"/>
      <c r="B115" s="122"/>
      <c r="C115" s="85"/>
      <c r="D115" s="85"/>
      <c r="E115" s="85"/>
      <c r="F115" s="85"/>
      <c r="G115" s="124"/>
    </row>
    <row r="116" spans="1:8" ht="15" customHeight="1" x14ac:dyDescent="0.15">
      <c r="A116" s="121"/>
      <c r="B116" s="122"/>
      <c r="C116" s="41" t="s">
        <v>1</v>
      </c>
      <c r="D116" s="85"/>
      <c r="E116" s="85"/>
      <c r="F116" s="85"/>
      <c r="G116" s="128">
        <v>2094169</v>
      </c>
      <c r="H116" s="85"/>
    </row>
    <row r="117" spans="1:8" ht="15" customHeight="1" x14ac:dyDescent="0.15">
      <c r="A117" s="121"/>
      <c r="B117" s="122"/>
      <c r="C117" s="85"/>
      <c r="D117" s="85"/>
      <c r="E117" s="85"/>
      <c r="F117" s="85"/>
      <c r="G117" s="124"/>
    </row>
    <row r="118" spans="1:8" ht="15" customHeight="1" x14ac:dyDescent="0.15">
      <c r="A118" s="121"/>
      <c r="B118" s="122"/>
      <c r="C118" s="85" t="s">
        <v>232</v>
      </c>
      <c r="D118" s="85"/>
      <c r="E118" s="85"/>
      <c r="F118" s="85"/>
      <c r="G118" s="128">
        <f>G69+E93</f>
        <v>282190668</v>
      </c>
      <c r="H118" s="85"/>
    </row>
    <row r="119" spans="1:8" ht="15" customHeight="1" x14ac:dyDescent="0.15">
      <c r="A119" s="121"/>
      <c r="B119" s="122"/>
      <c r="C119" s="85"/>
      <c r="D119" s="85"/>
      <c r="E119" s="85"/>
      <c r="F119" s="85"/>
      <c r="G119" s="124"/>
    </row>
    <row r="120" spans="1:8" ht="44.25" customHeight="1" x14ac:dyDescent="0.15">
      <c r="A120" s="121"/>
      <c r="B120" s="122"/>
      <c r="C120" s="85"/>
      <c r="D120" s="85"/>
      <c r="E120" s="85"/>
      <c r="F120" s="129" t="s">
        <v>220</v>
      </c>
      <c r="G120" s="3">
        <f>G118+G102+G104+G108+G106</f>
        <v>311123868</v>
      </c>
    </row>
    <row r="121" spans="1:8" ht="44.25" customHeight="1" x14ac:dyDescent="0.15">
      <c r="A121" s="121"/>
      <c r="B121" s="122"/>
      <c r="C121" s="85"/>
      <c r="D121" s="85"/>
      <c r="E121" s="85"/>
      <c r="F121" s="129" t="s">
        <v>222</v>
      </c>
      <c r="G121" s="3">
        <f>G116+G114+G112+G110+G96</f>
        <v>7709969</v>
      </c>
    </row>
    <row r="122" spans="1:8" ht="51" customHeight="1" x14ac:dyDescent="0.15">
      <c r="A122" s="121"/>
      <c r="B122" s="122"/>
      <c r="C122" s="85"/>
      <c r="D122" s="85"/>
      <c r="E122" s="85"/>
      <c r="F122" s="129" t="s">
        <v>221</v>
      </c>
      <c r="G122" s="130">
        <f>SUM(G69+G96+G102+G104+G106+G108+G110+G112+G114+G116+E93)</f>
        <v>318833837</v>
      </c>
      <c r="H122" s="3"/>
    </row>
    <row r="123" spans="1:8" ht="35.25" customHeight="1" x14ac:dyDescent="0.15">
      <c r="A123" s="133"/>
      <c r="B123" s="134"/>
      <c r="C123" s="41"/>
      <c r="D123" s="41"/>
      <c r="E123" s="41"/>
      <c r="F123" s="131" t="s">
        <v>0</v>
      </c>
      <c r="G123" s="132">
        <v>318833837</v>
      </c>
      <c r="H123" s="3"/>
    </row>
    <row r="124" spans="1:8" ht="15" customHeight="1" x14ac:dyDescent="0.15">
      <c r="A124" s="183"/>
      <c r="B124" s="184"/>
    </row>
    <row r="125" spans="1:8" ht="15" customHeight="1" x14ac:dyDescent="0.15"/>
    <row r="126" spans="1:8" ht="15" customHeight="1" x14ac:dyDescent="0.15"/>
    <row r="127" spans="1:8" ht="15" customHeight="1" x14ac:dyDescent="0.15"/>
    <row r="128" spans="1:8" ht="15" customHeight="1" x14ac:dyDescent="0.15"/>
    <row r="129" spans="9:9" ht="15" customHeight="1" x14ac:dyDescent="0.15">
      <c r="I129" s="1"/>
    </row>
    <row r="130" spans="9:9" s="2" customFormat="1" ht="15" customHeight="1" x14ac:dyDescent="0.15"/>
    <row r="131" spans="9:9" s="2" customFormat="1" ht="15" customHeight="1" x14ac:dyDescent="0.15"/>
    <row r="132" spans="9:9" s="2" customFormat="1" ht="15" customHeight="1" x14ac:dyDescent="0.15"/>
    <row r="133" spans="9:9" s="2" customFormat="1" ht="15" customHeight="1" x14ac:dyDescent="0.15"/>
    <row r="134" spans="9:9" s="2" customFormat="1" ht="15" customHeight="1" x14ac:dyDescent="0.15"/>
    <row r="135" spans="9:9" s="2" customFormat="1" ht="15" customHeight="1" x14ac:dyDescent="0.15"/>
    <row r="136" spans="9:9" s="2" customFormat="1" ht="15" customHeight="1" x14ac:dyDescent="0.15"/>
    <row r="137" spans="9:9" s="2" customFormat="1" ht="15" customHeight="1" x14ac:dyDescent="0.15"/>
    <row r="138" spans="9:9" s="2" customFormat="1" ht="15" customHeight="1" x14ac:dyDescent="0.15"/>
    <row r="139" spans="9:9" s="2" customFormat="1" ht="15" customHeight="1" x14ac:dyDescent="0.15"/>
    <row r="140" spans="9:9" s="2" customFormat="1" ht="15" customHeight="1" x14ac:dyDescent="0.15"/>
    <row r="141" spans="9:9" s="2" customFormat="1" ht="15" customHeight="1" x14ac:dyDescent="0.15"/>
    <row r="142" spans="9:9" s="2" customFormat="1" ht="15" customHeight="1" x14ac:dyDescent="0.15"/>
    <row r="143" spans="9:9" s="2" customFormat="1" ht="15" customHeight="1" x14ac:dyDescent="0.15"/>
    <row r="144" spans="9:9" s="2" customFormat="1" ht="15" customHeight="1" x14ac:dyDescent="0.15"/>
    <row r="145" s="2" customFormat="1" ht="15" customHeight="1" x14ac:dyDescent="0.15"/>
    <row r="146" s="2" customFormat="1" ht="15" customHeight="1" x14ac:dyDescent="0.15"/>
    <row r="147" s="2" customFormat="1" ht="15" customHeight="1" x14ac:dyDescent="0.15"/>
    <row r="148" s="2" customFormat="1" ht="15" customHeight="1" x14ac:dyDescent="0.15"/>
    <row r="149" s="2" customFormat="1" ht="15" customHeight="1" x14ac:dyDescent="0.15"/>
    <row r="150" s="2" customFormat="1" ht="15" customHeight="1" x14ac:dyDescent="0.15"/>
    <row r="151" s="2" customFormat="1" ht="15" customHeight="1" x14ac:dyDescent="0.15"/>
    <row r="152" s="2" customFormat="1" ht="15" customHeight="1" x14ac:dyDescent="0.15"/>
    <row r="153" s="2" customFormat="1" ht="15" customHeight="1" x14ac:dyDescent="0.15"/>
    <row r="154" s="2" customFormat="1" ht="15" customHeight="1" x14ac:dyDescent="0.15"/>
    <row r="155" s="2" customFormat="1" ht="15" customHeight="1" x14ac:dyDescent="0.15"/>
    <row r="156" s="2" customFormat="1" ht="15" customHeight="1" x14ac:dyDescent="0.15"/>
    <row r="157" s="2" customFormat="1" ht="15" customHeight="1" x14ac:dyDescent="0.15"/>
    <row r="158" s="2" customFormat="1" ht="15" customHeight="1" x14ac:dyDescent="0.15"/>
    <row r="159" s="2" customFormat="1" ht="15" customHeight="1" x14ac:dyDescent="0.15"/>
    <row r="160" s="2" customFormat="1" ht="15" customHeight="1" x14ac:dyDescent="0.15"/>
    <row r="161" s="2" customFormat="1" ht="15" customHeight="1" x14ac:dyDescent="0.15"/>
    <row r="162" s="2" customFormat="1" ht="15" customHeight="1" x14ac:dyDescent="0.15"/>
    <row r="163" s="2" customFormat="1" ht="15" customHeight="1" x14ac:dyDescent="0.15"/>
    <row r="164" s="2" customFormat="1" ht="15" customHeight="1" x14ac:dyDescent="0.15"/>
    <row r="165" s="2" customFormat="1" ht="15" customHeight="1" x14ac:dyDescent="0.15"/>
    <row r="166" s="2" customFormat="1" ht="15" customHeight="1" x14ac:dyDescent="0.15"/>
    <row r="167" s="2" customFormat="1" ht="15" customHeight="1" x14ac:dyDescent="0.15"/>
    <row r="168" s="2" customFormat="1" ht="15" customHeight="1" x14ac:dyDescent="0.15"/>
    <row r="169" s="2" customFormat="1" ht="15" customHeight="1" x14ac:dyDescent="0.15"/>
    <row r="170" s="2" customFormat="1" ht="15" customHeight="1" x14ac:dyDescent="0.15"/>
    <row r="171" s="2" customFormat="1" ht="15" customHeight="1" x14ac:dyDescent="0.15"/>
    <row r="172" s="2" customFormat="1" ht="15" customHeight="1" x14ac:dyDescent="0.15"/>
    <row r="173" s="2" customFormat="1" ht="15" customHeight="1" x14ac:dyDescent="0.15"/>
    <row r="174" s="2" customFormat="1" ht="15" customHeight="1" x14ac:dyDescent="0.15"/>
    <row r="175" s="2" customFormat="1" ht="15" customHeight="1" x14ac:dyDescent="0.15"/>
    <row r="176" s="2" customFormat="1" ht="15" customHeight="1" x14ac:dyDescent="0.15"/>
    <row r="177" s="2" customFormat="1" ht="15" customHeight="1" x14ac:dyDescent="0.15"/>
    <row r="178" s="2" customFormat="1" ht="15" customHeight="1" x14ac:dyDescent="0.15"/>
    <row r="179" s="2" customFormat="1" ht="15" customHeight="1" x14ac:dyDescent="0.15"/>
    <row r="180" s="2" customFormat="1" ht="15" customHeight="1" x14ac:dyDescent="0.15"/>
    <row r="181" s="2" customFormat="1" ht="15" customHeight="1" x14ac:dyDescent="0.15"/>
    <row r="182" s="2" customFormat="1" ht="15" customHeight="1" x14ac:dyDescent="0.15"/>
    <row r="183" s="2" customFormat="1" ht="15" customHeight="1" x14ac:dyDescent="0.15"/>
    <row r="184" s="2" customFormat="1" ht="15" customHeight="1" x14ac:dyDescent="0.15"/>
    <row r="185" s="2" customFormat="1" ht="15" customHeight="1" x14ac:dyDescent="0.15"/>
    <row r="186" s="2" customFormat="1" ht="15" customHeight="1" x14ac:dyDescent="0.15"/>
    <row r="187" s="2" customFormat="1" ht="15" customHeight="1" x14ac:dyDescent="0.15"/>
    <row r="188" s="2" customFormat="1" ht="15" customHeight="1" x14ac:dyDescent="0.15"/>
    <row r="189" s="2" customFormat="1" ht="15" customHeight="1" x14ac:dyDescent="0.15"/>
    <row r="190" s="2" customFormat="1" ht="15" customHeight="1" x14ac:dyDescent="0.15"/>
    <row r="191" s="2" customFormat="1" ht="15" customHeight="1" x14ac:dyDescent="0.15"/>
    <row r="192" s="2" customFormat="1" ht="15" customHeight="1" x14ac:dyDescent="0.15"/>
    <row r="193" s="2" customFormat="1" ht="15" customHeight="1" x14ac:dyDescent="0.15"/>
    <row r="194" s="2" customFormat="1" ht="15" customHeight="1" x14ac:dyDescent="0.15"/>
    <row r="195" s="2" customFormat="1" ht="15" customHeight="1" x14ac:dyDescent="0.15"/>
    <row r="196" s="2" customFormat="1" ht="15" customHeight="1" x14ac:dyDescent="0.15"/>
    <row r="197" s="2" customFormat="1" ht="15" customHeight="1" x14ac:dyDescent="0.15"/>
    <row r="198" s="2" customFormat="1" ht="15" customHeight="1" x14ac:dyDescent="0.15"/>
    <row r="199" s="2" customFormat="1" ht="15" customHeight="1" x14ac:dyDescent="0.15"/>
    <row r="200" s="2" customFormat="1" ht="15" customHeight="1" x14ac:dyDescent="0.15"/>
    <row r="201" s="2" customFormat="1" ht="15" customHeight="1" x14ac:dyDescent="0.15"/>
    <row r="202" s="2" customFormat="1" ht="15" customHeight="1" x14ac:dyDescent="0.15"/>
    <row r="203" s="2" customFormat="1" ht="15" customHeight="1" x14ac:dyDescent="0.15"/>
    <row r="204" s="2" customFormat="1" ht="15" customHeight="1" x14ac:dyDescent="0.15"/>
    <row r="205" s="2" customFormat="1" ht="15" customHeight="1" x14ac:dyDescent="0.15"/>
    <row r="206" s="2" customFormat="1" ht="15" customHeight="1" x14ac:dyDescent="0.15"/>
    <row r="207" s="2" customFormat="1" ht="15" customHeight="1" x14ac:dyDescent="0.15"/>
    <row r="208" s="2" customFormat="1" ht="15" customHeight="1" x14ac:dyDescent="0.15"/>
    <row r="209" s="2" customFormat="1" ht="15" customHeight="1" x14ac:dyDescent="0.15"/>
    <row r="210" s="2" customFormat="1" ht="15" customHeight="1" x14ac:dyDescent="0.15"/>
    <row r="211" s="2" customFormat="1" ht="15" customHeight="1" x14ac:dyDescent="0.15"/>
    <row r="212" s="2" customFormat="1" ht="15" customHeight="1" x14ac:dyDescent="0.15"/>
  </sheetData>
  <mergeCells count="10">
    <mergeCell ref="D74:E74"/>
    <mergeCell ref="A76:A83"/>
    <mergeCell ref="A87:A89"/>
    <mergeCell ref="C1:C2"/>
    <mergeCell ref="D1:S1"/>
    <mergeCell ref="D2:S2"/>
    <mergeCell ref="D3:E3"/>
    <mergeCell ref="F3:G3"/>
    <mergeCell ref="H3:I3"/>
    <mergeCell ref="F74:G74"/>
  </mergeCells>
  <printOptions horizontalCentered="1" headings="1" gridLines="1"/>
  <pageMargins left="0.25" right="0.25" top="0.75" bottom="0.75" header="0.3" footer="0.3"/>
  <pageSetup scale="2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4CA3E-468C-4334-A89A-252503425B9B}">
  <dimension ref="A1:J60"/>
  <sheetViews>
    <sheetView workbookViewId="0">
      <selection activeCell="B67" sqref="B67"/>
    </sheetView>
  </sheetViews>
  <sheetFormatPr baseColWidth="10" defaultColWidth="8.83203125" defaultRowHeight="15" x14ac:dyDescent="0.2"/>
  <cols>
    <col min="1" max="1" width="8.5" customWidth="1"/>
    <col min="2" max="2" width="32.5" customWidth="1"/>
    <col min="3" max="3" width="12.6640625" customWidth="1"/>
    <col min="4" max="4" width="13.1640625" customWidth="1"/>
    <col min="5" max="5" width="13.33203125" style="241" customWidth="1"/>
  </cols>
  <sheetData>
    <row r="1" spans="1:5" ht="20" x14ac:dyDescent="0.2">
      <c r="A1" s="308" t="s">
        <v>193</v>
      </c>
      <c r="B1" s="309"/>
      <c r="C1" s="309"/>
      <c r="D1" s="309"/>
      <c r="E1" s="310"/>
    </row>
    <row r="2" spans="1:5" ht="31.5" customHeight="1" x14ac:dyDescent="0.2">
      <c r="A2" s="195" t="s">
        <v>156</v>
      </c>
      <c r="B2" s="196" t="s">
        <v>157</v>
      </c>
      <c r="C2" s="217" t="s">
        <v>158</v>
      </c>
      <c r="D2" s="245" t="s">
        <v>200</v>
      </c>
      <c r="E2" s="244" t="s">
        <v>194</v>
      </c>
    </row>
    <row r="3" spans="1:5" x14ac:dyDescent="0.2">
      <c r="A3" s="197">
        <v>1</v>
      </c>
      <c r="B3" s="242" t="s">
        <v>159</v>
      </c>
      <c r="C3" s="198"/>
      <c r="D3" s="246"/>
      <c r="E3" s="227"/>
    </row>
    <row r="4" spans="1:5" x14ac:dyDescent="0.2">
      <c r="A4" s="199">
        <f>+A3+1</f>
        <v>2</v>
      </c>
      <c r="B4" s="200" t="s">
        <v>160</v>
      </c>
      <c r="C4" s="218">
        <f>'FY22 VS. PRIOR YRS'!D11</f>
        <v>15979760</v>
      </c>
      <c r="D4" s="247">
        <f>'FY22 VS. PRIOR YRS'!F11</f>
        <v>16211983</v>
      </c>
      <c r="E4" s="228">
        <f>D4-C4</f>
        <v>232223</v>
      </c>
    </row>
    <row r="5" spans="1:5" x14ac:dyDescent="0.2">
      <c r="A5" s="199">
        <f t="shared" ref="A5:A57" si="0">+A4+1</f>
        <v>3</v>
      </c>
      <c r="B5" s="202" t="s">
        <v>161</v>
      </c>
      <c r="C5" s="218">
        <f>'FY22 VS. PRIOR YRS'!D33</f>
        <v>11551005</v>
      </c>
      <c r="D5" s="247">
        <f>'FY22 VS. PRIOR YRS'!F33</f>
        <v>11458898</v>
      </c>
      <c r="E5" s="228">
        <f t="shared" ref="E5:E8" si="1">D5-C5</f>
        <v>-92107</v>
      </c>
    </row>
    <row r="6" spans="1:5" x14ac:dyDescent="0.2">
      <c r="A6" s="199">
        <f t="shared" si="0"/>
        <v>4</v>
      </c>
      <c r="B6" s="202" t="s">
        <v>162</v>
      </c>
      <c r="C6" s="218">
        <f>'FY22 VS. PRIOR YRS'!D71</f>
        <v>184774</v>
      </c>
      <c r="D6" s="247">
        <f>'FY22 VS. PRIOR YRS'!F71</f>
        <v>186611</v>
      </c>
      <c r="E6" s="228">
        <f t="shared" si="1"/>
        <v>1837</v>
      </c>
    </row>
    <row r="7" spans="1:5" x14ac:dyDescent="0.2">
      <c r="A7" s="199">
        <f t="shared" si="0"/>
        <v>5</v>
      </c>
      <c r="B7" s="203" t="s">
        <v>163</v>
      </c>
      <c r="C7" s="218">
        <f>'FY22 VS. PRIOR YRS'!D9+888000</f>
        <v>35233533</v>
      </c>
      <c r="D7" s="247">
        <f>'FY22 VS. PRIOR YRS'!F9</f>
        <v>35973988</v>
      </c>
      <c r="E7" s="229">
        <f t="shared" si="1"/>
        <v>740455</v>
      </c>
    </row>
    <row r="8" spans="1:5" x14ac:dyDescent="0.2">
      <c r="A8" s="199">
        <f t="shared" si="0"/>
        <v>6</v>
      </c>
      <c r="B8" s="204" t="s">
        <v>164</v>
      </c>
      <c r="C8" s="219">
        <f>SUM(C4:C7)</f>
        <v>62949072</v>
      </c>
      <c r="D8" s="248">
        <f>SUM(D4:D7)</f>
        <v>63831480</v>
      </c>
      <c r="E8" s="230">
        <f t="shared" si="1"/>
        <v>882408</v>
      </c>
    </row>
    <row r="9" spans="1:5" x14ac:dyDescent="0.2">
      <c r="A9" s="199">
        <f t="shared" si="0"/>
        <v>7</v>
      </c>
      <c r="B9" s="205" t="s">
        <v>165</v>
      </c>
      <c r="C9" s="201"/>
      <c r="D9" s="249"/>
      <c r="E9" s="231"/>
    </row>
    <row r="10" spans="1:5" x14ac:dyDescent="0.2">
      <c r="A10" s="199">
        <f t="shared" si="0"/>
        <v>8</v>
      </c>
      <c r="B10" s="206" t="s">
        <v>166</v>
      </c>
      <c r="C10" s="218">
        <f>'FY22 VS. PRIOR YRS'!D31</f>
        <v>1010000</v>
      </c>
      <c r="D10" s="250">
        <f>'FY22 VS. PRIOR YRS'!F31</f>
        <v>1460000</v>
      </c>
      <c r="E10" s="228">
        <f>D10-C10</f>
        <v>450000</v>
      </c>
    </row>
    <row r="11" spans="1:5" x14ac:dyDescent="0.2">
      <c r="A11" s="199">
        <f t="shared" si="0"/>
        <v>9</v>
      </c>
      <c r="B11" s="206" t="s">
        <v>167</v>
      </c>
      <c r="C11" s="218">
        <f>'FY22 VS. PRIOR YRS'!D45</f>
        <v>307000</v>
      </c>
      <c r="D11" s="247">
        <f>'FY22 VS. PRIOR YRS'!F45</f>
        <v>850000</v>
      </c>
      <c r="E11" s="232">
        <f>D11-C11</f>
        <v>543000</v>
      </c>
    </row>
    <row r="12" spans="1:5" x14ac:dyDescent="0.2">
      <c r="A12" s="199">
        <f t="shared" si="0"/>
        <v>10</v>
      </c>
      <c r="B12" s="204" t="s">
        <v>164</v>
      </c>
      <c r="C12" s="219">
        <f>SUM(C10:C11)</f>
        <v>1317000</v>
      </c>
      <c r="D12" s="248">
        <f>SUM(D10:D11)</f>
        <v>2310000</v>
      </c>
      <c r="E12" s="233">
        <f>D12-C12</f>
        <v>993000</v>
      </c>
    </row>
    <row r="13" spans="1:5" x14ac:dyDescent="0.2">
      <c r="A13" s="199">
        <f t="shared" si="0"/>
        <v>11</v>
      </c>
      <c r="B13" s="207" t="s">
        <v>168</v>
      </c>
      <c r="C13" s="208"/>
      <c r="D13" s="251"/>
      <c r="E13" s="234"/>
    </row>
    <row r="14" spans="1:5" x14ac:dyDescent="0.2">
      <c r="A14" s="199">
        <f t="shared" si="0"/>
        <v>12</v>
      </c>
      <c r="B14" s="206" t="s">
        <v>169</v>
      </c>
      <c r="C14" s="218">
        <f>'FY22 VS. PRIOR YRS'!D37+500000</f>
        <v>38734820</v>
      </c>
      <c r="D14" s="252">
        <f>'FY22 VS. PRIOR YRS'!F37</f>
        <v>42821522</v>
      </c>
      <c r="E14" s="228">
        <f>D14-C14</f>
        <v>4086702</v>
      </c>
    </row>
    <row r="15" spans="1:5" x14ac:dyDescent="0.2">
      <c r="A15" s="199">
        <f t="shared" si="0"/>
        <v>13</v>
      </c>
      <c r="B15" s="206" t="s">
        <v>170</v>
      </c>
      <c r="C15" s="218">
        <f>'FY22 VS. PRIOR YRS'!D39-26240</f>
        <v>9529432</v>
      </c>
      <c r="D15" s="247">
        <f>'FY22 VS. PRIOR YRS'!F39</f>
        <v>10451646</v>
      </c>
      <c r="E15" s="228">
        <f t="shared" ref="E15:E21" si="2">D15-C15</f>
        <v>922214</v>
      </c>
    </row>
    <row r="16" spans="1:5" x14ac:dyDescent="0.2">
      <c r="A16" s="199">
        <f t="shared" si="0"/>
        <v>14</v>
      </c>
      <c r="B16" s="209" t="s">
        <v>171</v>
      </c>
      <c r="C16" s="218">
        <f>'FY22 VS. PRIOR YRS'!D20</f>
        <v>17000970</v>
      </c>
      <c r="D16" s="247">
        <f>'FY22 VS. PRIOR YRS'!F20</f>
        <v>16789554</v>
      </c>
      <c r="E16" s="228">
        <f t="shared" si="2"/>
        <v>-211416</v>
      </c>
    </row>
    <row r="17" spans="1:5" x14ac:dyDescent="0.2">
      <c r="A17" s="199">
        <f t="shared" si="0"/>
        <v>15</v>
      </c>
      <c r="B17" s="210" t="s">
        <v>63</v>
      </c>
      <c r="C17" s="218">
        <f>'FY22 VS. PRIOR YRS'!D19</f>
        <v>5580568</v>
      </c>
      <c r="D17" s="247">
        <f>'FY22 VS. PRIOR YRS'!F19</f>
        <v>5220233</v>
      </c>
      <c r="E17" s="228">
        <f t="shared" si="2"/>
        <v>-360335</v>
      </c>
    </row>
    <row r="18" spans="1:5" x14ac:dyDescent="0.2">
      <c r="A18" s="199">
        <f t="shared" si="0"/>
        <v>16</v>
      </c>
      <c r="B18" s="209" t="s">
        <v>60</v>
      </c>
      <c r="C18" s="201">
        <v>0</v>
      </c>
      <c r="D18" s="253">
        <f>'[1]Aug BAA'!D18</f>
        <v>0</v>
      </c>
      <c r="E18" s="228">
        <f t="shared" si="2"/>
        <v>0</v>
      </c>
    </row>
    <row r="19" spans="1:5" x14ac:dyDescent="0.2">
      <c r="A19" s="199">
        <f t="shared" si="0"/>
        <v>17</v>
      </c>
      <c r="B19" s="269" t="s">
        <v>172</v>
      </c>
      <c r="C19" s="218">
        <f>'FY22 VS. PRIOR YRS'!D41-Summary!C20-6550000</f>
        <v>24144448</v>
      </c>
      <c r="D19" s="247">
        <f>'FY22 VS. PRIOR YRS'!F41-Summary!D20</f>
        <v>27630019</v>
      </c>
      <c r="E19" s="228">
        <f t="shared" si="2"/>
        <v>3485571</v>
      </c>
    </row>
    <row r="20" spans="1:5" x14ac:dyDescent="0.2">
      <c r="A20" s="199">
        <f t="shared" si="0"/>
        <v>18</v>
      </c>
      <c r="B20" s="269" t="s">
        <v>173</v>
      </c>
      <c r="C20" s="222">
        <f>7350000-6550000</f>
        <v>800000</v>
      </c>
      <c r="D20" s="254">
        <v>8750000</v>
      </c>
      <c r="E20" s="232">
        <f t="shared" si="2"/>
        <v>7950000</v>
      </c>
    </row>
    <row r="21" spans="1:5" x14ac:dyDescent="0.2">
      <c r="A21" s="199">
        <f t="shared" si="0"/>
        <v>19</v>
      </c>
      <c r="B21" s="204" t="s">
        <v>164</v>
      </c>
      <c r="C21" s="219">
        <f>SUM(C14:C20)</f>
        <v>95790238</v>
      </c>
      <c r="D21" s="248">
        <f>SUM(D14:D20)</f>
        <v>111662974</v>
      </c>
      <c r="E21" s="235">
        <f t="shared" si="2"/>
        <v>15872736</v>
      </c>
    </row>
    <row r="22" spans="1:5" x14ac:dyDescent="0.2">
      <c r="A22" s="199">
        <f t="shared" si="0"/>
        <v>20</v>
      </c>
      <c r="B22" s="207" t="s">
        <v>174</v>
      </c>
      <c r="C22" s="208"/>
      <c r="D22" s="255"/>
      <c r="E22" s="231"/>
    </row>
    <row r="23" spans="1:5" x14ac:dyDescent="0.2">
      <c r="A23" s="199">
        <f t="shared" si="0"/>
        <v>21</v>
      </c>
      <c r="B23" s="206" t="s">
        <v>124</v>
      </c>
      <c r="C23" s="218">
        <f>'FY22 VS. PRIOR YRS'!D35+500000</f>
        <v>100336436</v>
      </c>
      <c r="D23" s="247">
        <f>'FY22 VS. PRIOR YRS'!F35</f>
        <v>103519499</v>
      </c>
      <c r="E23" s="228">
        <f>D23-C23</f>
        <v>3183063</v>
      </c>
    </row>
    <row r="24" spans="1:5" x14ac:dyDescent="0.2">
      <c r="A24" s="199">
        <f t="shared" si="0"/>
        <v>22</v>
      </c>
      <c r="B24" s="209" t="s">
        <v>115</v>
      </c>
      <c r="C24" s="218">
        <f>'FY22 VS. PRIOR YRS'!D14+2400000+1600000</f>
        <v>109755261</v>
      </c>
      <c r="D24" s="247">
        <f>'FY22 VS. PRIOR YRS'!F14</f>
        <v>120459399</v>
      </c>
      <c r="E24" s="228">
        <f t="shared" ref="E24:E30" si="3">D24-C24</f>
        <v>10704138</v>
      </c>
    </row>
    <row r="25" spans="1:5" x14ac:dyDescent="0.2">
      <c r="A25" s="199">
        <f t="shared" si="0"/>
        <v>23</v>
      </c>
      <c r="B25" s="209" t="s">
        <v>114</v>
      </c>
      <c r="C25" s="218">
        <f>'FY22 VS. PRIOR YRS'!D17</f>
        <v>42111213</v>
      </c>
      <c r="D25" s="247">
        <f>'FY22 VS. PRIOR YRS'!F17</f>
        <v>37334563</v>
      </c>
      <c r="E25" s="228">
        <f t="shared" si="3"/>
        <v>-4776650</v>
      </c>
    </row>
    <row r="26" spans="1:5" x14ac:dyDescent="0.2">
      <c r="A26" s="199">
        <f t="shared" si="0"/>
        <v>24</v>
      </c>
      <c r="B26" s="209" t="s">
        <v>175</v>
      </c>
      <c r="C26" s="218">
        <f>'FY22 VS. PRIOR YRS'!D16</f>
        <v>67955839</v>
      </c>
      <c r="D26" s="247">
        <f>'FY22 VS. PRIOR YRS'!F16</f>
        <v>49252858</v>
      </c>
      <c r="E26" s="228">
        <f t="shared" si="3"/>
        <v>-18702981</v>
      </c>
    </row>
    <row r="27" spans="1:5" x14ac:dyDescent="0.2">
      <c r="A27" s="199">
        <f t="shared" si="0"/>
        <v>25</v>
      </c>
      <c r="B27" s="209" t="s">
        <v>176</v>
      </c>
      <c r="C27" s="218">
        <f>'FY22 VS. PRIOR YRS'!D15</f>
        <v>22653892</v>
      </c>
      <c r="D27" s="247">
        <f>'FY22 VS. PRIOR YRS'!F15</f>
        <v>22595374</v>
      </c>
      <c r="E27" s="228">
        <f t="shared" si="3"/>
        <v>-58518</v>
      </c>
    </row>
    <row r="28" spans="1:5" x14ac:dyDescent="0.2">
      <c r="A28" s="199">
        <f t="shared" si="0"/>
        <v>26</v>
      </c>
      <c r="B28" s="209" t="s">
        <v>64</v>
      </c>
      <c r="C28" s="218">
        <f>'FY22 VS. PRIOR YRS'!D18</f>
        <v>34568991</v>
      </c>
      <c r="D28" s="247">
        <f>'FY22 VS. PRIOR YRS'!F18</f>
        <v>33343610</v>
      </c>
      <c r="E28" s="228">
        <f t="shared" si="3"/>
        <v>-1225381</v>
      </c>
    </row>
    <row r="29" spans="1:5" x14ac:dyDescent="0.2">
      <c r="A29" s="199">
        <f t="shared" si="0"/>
        <v>27</v>
      </c>
      <c r="B29" s="209" t="s">
        <v>177</v>
      </c>
      <c r="C29" s="218">
        <f>'FY22 VS. PRIOR YRS'!D23-50000</f>
        <v>24335131</v>
      </c>
      <c r="D29" s="247">
        <f>'FY22 VS. PRIOR YRS'!F23</f>
        <v>25084554</v>
      </c>
      <c r="E29" s="228">
        <f t="shared" si="3"/>
        <v>749423</v>
      </c>
    </row>
    <row r="30" spans="1:5" x14ac:dyDescent="0.2">
      <c r="A30" s="199">
        <f t="shared" si="0"/>
        <v>28</v>
      </c>
      <c r="B30" s="204" t="s">
        <v>164</v>
      </c>
      <c r="C30" s="219">
        <f>SUM(C23:C29)</f>
        <v>401716763</v>
      </c>
      <c r="D30" s="248">
        <f>SUM(D23:D29)</f>
        <v>391589857</v>
      </c>
      <c r="E30" s="236">
        <f t="shared" si="3"/>
        <v>-10126906</v>
      </c>
    </row>
    <row r="31" spans="1:5" x14ac:dyDescent="0.2">
      <c r="A31" s="199">
        <f t="shared" si="0"/>
        <v>29</v>
      </c>
      <c r="B31" s="243" t="s">
        <v>178</v>
      </c>
      <c r="C31" s="211"/>
      <c r="D31" s="256"/>
      <c r="E31" s="231"/>
    </row>
    <row r="32" spans="1:5" x14ac:dyDescent="0.2">
      <c r="A32" s="199">
        <f t="shared" si="0"/>
        <v>30</v>
      </c>
      <c r="B32" s="209" t="s">
        <v>202</v>
      </c>
      <c r="C32" s="218">
        <f>'FY22 VS. PRIOR YRS'!D59</f>
        <v>27105769</v>
      </c>
      <c r="D32" s="247">
        <f>'FY22 VS. PRIOR YRS'!F59</f>
        <v>27105769</v>
      </c>
      <c r="E32" s="228">
        <f>D32-C32</f>
        <v>0</v>
      </c>
    </row>
    <row r="33" spans="1:10" x14ac:dyDescent="0.2">
      <c r="A33" s="199">
        <f t="shared" si="0"/>
        <v>31</v>
      </c>
      <c r="B33" s="209" t="s">
        <v>203</v>
      </c>
      <c r="C33" s="218">
        <v>7000000</v>
      </c>
      <c r="D33" s="247">
        <v>3000000</v>
      </c>
      <c r="E33" s="228">
        <f>D33-C33</f>
        <v>-4000000</v>
      </c>
    </row>
    <row r="34" spans="1:10" x14ac:dyDescent="0.2">
      <c r="A34" s="199">
        <f t="shared" si="0"/>
        <v>32</v>
      </c>
      <c r="B34" s="209" t="s">
        <v>179</v>
      </c>
      <c r="C34" s="218">
        <f>'FY22 VS. PRIOR YRS'!D49</f>
        <v>13073351</v>
      </c>
      <c r="D34" s="247">
        <f>'FY22 VS. PRIOR YRS'!F49</f>
        <v>15408394</v>
      </c>
      <c r="E34" s="228">
        <f t="shared" ref="E34:E58" si="4">D34-C34</f>
        <v>2335043</v>
      </c>
    </row>
    <row r="35" spans="1:10" x14ac:dyDescent="0.2">
      <c r="A35" s="199">
        <f t="shared" si="0"/>
        <v>33</v>
      </c>
      <c r="B35" s="209" t="s">
        <v>180</v>
      </c>
      <c r="C35" s="218">
        <f>'FY22 VS. PRIOR YRS'!D53</f>
        <v>3250000</v>
      </c>
      <c r="D35" s="247">
        <f>'FY22 VS. PRIOR YRS'!F53</f>
        <v>15297500</v>
      </c>
      <c r="E35" s="228">
        <f t="shared" si="4"/>
        <v>12047500</v>
      </c>
    </row>
    <row r="36" spans="1:10" x14ac:dyDescent="0.2">
      <c r="A36" s="199">
        <f t="shared" si="0"/>
        <v>34</v>
      </c>
      <c r="B36" s="209" t="s">
        <v>181</v>
      </c>
      <c r="C36" s="218">
        <f>'FY22 VS. PRIOR YRS'!D51</f>
        <v>4650000</v>
      </c>
      <c r="D36" s="247">
        <f>'FY22 VS. PRIOR YRS'!F51</f>
        <v>12667000</v>
      </c>
      <c r="E36" s="228">
        <f t="shared" si="4"/>
        <v>8017000</v>
      </c>
    </row>
    <row r="37" spans="1:10" x14ac:dyDescent="0.2">
      <c r="A37" s="199">
        <f t="shared" si="0"/>
        <v>35</v>
      </c>
      <c r="B37" s="209" t="s">
        <v>182</v>
      </c>
      <c r="C37" s="218">
        <f>'FY22 VS. PRIOR YRS'!D61</f>
        <v>128750</v>
      </c>
      <c r="D37" s="247">
        <f>'FY22 VS. PRIOR YRS'!F61</f>
        <v>128750</v>
      </c>
      <c r="E37" s="228">
        <f t="shared" si="4"/>
        <v>0</v>
      </c>
    </row>
    <row r="38" spans="1:10" x14ac:dyDescent="0.2">
      <c r="A38" s="199">
        <f t="shared" si="0"/>
        <v>36</v>
      </c>
      <c r="B38" s="209" t="s">
        <v>196</v>
      </c>
      <c r="C38" s="221">
        <f>'FY22 VS. PRIOR YRS'!D21</f>
        <v>2763408</v>
      </c>
      <c r="D38" s="247">
        <f>'FY22 VS. PRIOR YRS'!F21</f>
        <v>4454294</v>
      </c>
      <c r="E38" s="228">
        <f t="shared" si="4"/>
        <v>1690886</v>
      </c>
    </row>
    <row r="39" spans="1:10" x14ac:dyDescent="0.2">
      <c r="A39" s="199">
        <f t="shared" si="0"/>
        <v>37</v>
      </c>
      <c r="B39" s="209" t="s">
        <v>183</v>
      </c>
      <c r="C39" s="218">
        <f>'FY22 VS. PRIOR YRS'!D55</f>
        <v>1150000</v>
      </c>
      <c r="D39" s="247">
        <f>'FY22 VS. PRIOR YRS'!F55</f>
        <v>1150000</v>
      </c>
      <c r="E39" s="228">
        <f t="shared" si="4"/>
        <v>0</v>
      </c>
    </row>
    <row r="40" spans="1:10" x14ac:dyDescent="0.2">
      <c r="A40" s="199">
        <f t="shared" si="0"/>
        <v>38</v>
      </c>
      <c r="B40" s="209" t="s">
        <v>184</v>
      </c>
      <c r="C40" s="218">
        <f>'FY22 VS. PRIOR YRS'!D57</f>
        <v>180000</v>
      </c>
      <c r="D40" s="247">
        <f>'FY22 VS. PRIOR YRS'!F57</f>
        <v>180000</v>
      </c>
      <c r="E40" s="228">
        <f t="shared" si="4"/>
        <v>0</v>
      </c>
    </row>
    <row r="41" spans="1:10" x14ac:dyDescent="0.2">
      <c r="A41" s="199">
        <f t="shared" si="0"/>
        <v>39</v>
      </c>
      <c r="B41" s="212" t="s">
        <v>185</v>
      </c>
      <c r="C41" s="218">
        <f>'FY22 VS. PRIOR YRS'!D67</f>
        <v>1250000</v>
      </c>
      <c r="D41" s="247">
        <f>'FY22 VS. PRIOR YRS'!F67</f>
        <v>1250000</v>
      </c>
      <c r="E41" s="228">
        <f t="shared" si="4"/>
        <v>0</v>
      </c>
    </row>
    <row r="42" spans="1:10" x14ac:dyDescent="0.2">
      <c r="A42" s="199">
        <f t="shared" si="0"/>
        <v>40</v>
      </c>
      <c r="B42" s="203" t="s">
        <v>186</v>
      </c>
      <c r="C42" s="218">
        <f>'FY22 VS. PRIOR YRS'!D63</f>
        <v>408964.67499999999</v>
      </c>
      <c r="D42" s="247">
        <f>'FY22 VS. PRIOR YRS'!F63</f>
        <v>411689</v>
      </c>
      <c r="E42" s="228">
        <f t="shared" si="4"/>
        <v>2724.3250000000116</v>
      </c>
      <c r="J42" s="262"/>
    </row>
    <row r="43" spans="1:10" x14ac:dyDescent="0.2">
      <c r="A43" s="199">
        <f t="shared" si="0"/>
        <v>41</v>
      </c>
      <c r="B43" s="213" t="s">
        <v>187</v>
      </c>
      <c r="C43" s="218">
        <f>'FY22 VS. PRIOR YRS'!D65+650715</f>
        <v>6705715</v>
      </c>
      <c r="D43" s="247">
        <f>'FY22 VS. PRIOR YRS'!F65+500000</f>
        <v>6610000</v>
      </c>
      <c r="E43" s="229">
        <f t="shared" si="4"/>
        <v>-95715</v>
      </c>
    </row>
    <row r="44" spans="1:10" x14ac:dyDescent="0.2">
      <c r="A44" s="199">
        <f t="shared" si="0"/>
        <v>42</v>
      </c>
      <c r="B44" s="204" t="s">
        <v>164</v>
      </c>
      <c r="C44" s="220">
        <f>SUM(C32:C43)</f>
        <v>67665957.674999997</v>
      </c>
      <c r="D44" s="257">
        <f>SUM(D32:D43)</f>
        <v>87663396</v>
      </c>
      <c r="E44" s="237">
        <f t="shared" si="4"/>
        <v>19997438.325000003</v>
      </c>
    </row>
    <row r="45" spans="1:10" x14ac:dyDescent="0.2">
      <c r="A45" s="199">
        <f t="shared" si="0"/>
        <v>43</v>
      </c>
      <c r="B45" s="223" t="s">
        <v>188</v>
      </c>
      <c r="C45" s="220">
        <f>'FY22 VS. PRIOR YRS'!D27</f>
        <v>1557438</v>
      </c>
      <c r="D45" s="258">
        <f>0</f>
        <v>0</v>
      </c>
      <c r="E45" s="237">
        <f t="shared" si="4"/>
        <v>-1557438</v>
      </c>
      <c r="F45" s="60"/>
    </row>
    <row r="46" spans="1:10" x14ac:dyDescent="0.2">
      <c r="A46" s="199">
        <f t="shared" si="0"/>
        <v>44</v>
      </c>
      <c r="B46" s="223" t="s">
        <v>201</v>
      </c>
      <c r="C46" s="220"/>
      <c r="D46" s="258"/>
      <c r="E46" s="237"/>
      <c r="F46" s="60"/>
    </row>
    <row r="47" spans="1:10" x14ac:dyDescent="0.2">
      <c r="A47" s="199">
        <f t="shared" si="0"/>
        <v>45</v>
      </c>
      <c r="B47" s="266" t="s">
        <v>189</v>
      </c>
      <c r="C47" s="225">
        <f>1000000+50000</f>
        <v>1050000</v>
      </c>
      <c r="D47" s="289">
        <v>3250000</v>
      </c>
      <c r="E47" s="238">
        <f t="shared" si="4"/>
        <v>2200000</v>
      </c>
    </row>
    <row r="48" spans="1:10" x14ac:dyDescent="0.2">
      <c r="A48" s="199">
        <f t="shared" si="0"/>
        <v>46</v>
      </c>
      <c r="B48" s="267" t="s">
        <v>155</v>
      </c>
      <c r="C48" s="286"/>
      <c r="D48" s="290">
        <v>1000000</v>
      </c>
      <c r="E48" s="239">
        <f t="shared" si="4"/>
        <v>1000000</v>
      </c>
    </row>
    <row r="49" spans="1:5" x14ac:dyDescent="0.2">
      <c r="A49" s="199">
        <f t="shared" si="0"/>
        <v>47</v>
      </c>
      <c r="B49" s="267" t="s">
        <v>129</v>
      </c>
      <c r="C49" s="286"/>
      <c r="D49" s="263">
        <v>50000</v>
      </c>
      <c r="E49" s="239">
        <f t="shared" si="4"/>
        <v>50000</v>
      </c>
    </row>
    <row r="50" spans="1:5" x14ac:dyDescent="0.2">
      <c r="A50" s="199">
        <f t="shared" si="0"/>
        <v>48</v>
      </c>
      <c r="B50" s="267" t="s">
        <v>198</v>
      </c>
      <c r="C50" s="287"/>
      <c r="D50" s="290">
        <v>375000</v>
      </c>
      <c r="E50" s="239">
        <f t="shared" si="4"/>
        <v>375000</v>
      </c>
    </row>
    <row r="51" spans="1:5" x14ac:dyDescent="0.2">
      <c r="A51" s="199">
        <f t="shared" si="0"/>
        <v>49</v>
      </c>
      <c r="B51" s="267" t="s">
        <v>92</v>
      </c>
      <c r="C51" s="226"/>
      <c r="D51" s="263">
        <v>1500000</v>
      </c>
      <c r="E51" s="239">
        <f t="shared" si="4"/>
        <v>1500000</v>
      </c>
    </row>
    <row r="52" spans="1:5" x14ac:dyDescent="0.2">
      <c r="A52" s="199">
        <f t="shared" si="0"/>
        <v>50</v>
      </c>
      <c r="B52" s="267" t="s">
        <v>140</v>
      </c>
      <c r="C52" s="286"/>
      <c r="D52" s="290">
        <v>400000</v>
      </c>
      <c r="E52" s="239">
        <f t="shared" si="4"/>
        <v>400000</v>
      </c>
    </row>
    <row r="53" spans="1:5" x14ac:dyDescent="0.2">
      <c r="A53" s="199">
        <f t="shared" si="0"/>
        <v>51</v>
      </c>
      <c r="B53" s="267" t="s">
        <v>197</v>
      </c>
      <c r="C53" s="286"/>
      <c r="D53" s="290">
        <v>24500000</v>
      </c>
      <c r="E53" s="239">
        <f t="shared" si="4"/>
        <v>24500000</v>
      </c>
    </row>
    <row r="54" spans="1:5" x14ac:dyDescent="0.2">
      <c r="A54" s="199">
        <f t="shared" si="0"/>
        <v>52</v>
      </c>
      <c r="B54" s="268" t="s">
        <v>199</v>
      </c>
      <c r="C54" s="286"/>
      <c r="D54" s="290">
        <v>3000000</v>
      </c>
      <c r="E54" s="239">
        <f t="shared" si="4"/>
        <v>3000000</v>
      </c>
    </row>
    <row r="55" spans="1:5" x14ac:dyDescent="0.2">
      <c r="A55" s="199">
        <f t="shared" si="0"/>
        <v>53</v>
      </c>
      <c r="B55" s="224" t="s">
        <v>93</v>
      </c>
      <c r="C55" s="288"/>
      <c r="D55" s="264">
        <v>1250000</v>
      </c>
      <c r="E55" s="237">
        <f t="shared" si="4"/>
        <v>1250000</v>
      </c>
    </row>
    <row r="56" spans="1:5" x14ac:dyDescent="0.2">
      <c r="A56" s="199">
        <f t="shared" si="0"/>
        <v>54</v>
      </c>
      <c r="B56" s="214" t="s">
        <v>190</v>
      </c>
      <c r="C56" s="265">
        <f>+C8+C12+C21+C30+C44++C45+C47</f>
        <v>632046468.67499995</v>
      </c>
      <c r="D56" s="259">
        <f>+D8+D12+D21+D30+D44+D45+D47+D48+D49+D50+D51+D52+D53+D54+D55</f>
        <v>692382707</v>
      </c>
      <c r="E56" s="240">
        <f t="shared" si="4"/>
        <v>60336238.325000048</v>
      </c>
    </row>
    <row r="57" spans="1:5" x14ac:dyDescent="0.2">
      <c r="A57" s="199">
        <f t="shared" si="0"/>
        <v>55</v>
      </c>
      <c r="B57" s="215" t="s">
        <v>191</v>
      </c>
      <c r="C57" s="291">
        <f>'FY22 VS. PRIOR YRS'!D43</f>
        <v>20982875</v>
      </c>
      <c r="D57" s="292">
        <f>'FY22 VS. PRIOR YRS'!F43</f>
        <v>22202720</v>
      </c>
      <c r="E57" s="237">
        <f t="shared" si="4"/>
        <v>1219845</v>
      </c>
    </row>
    <row r="58" spans="1:5" x14ac:dyDescent="0.2">
      <c r="A58" s="199">
        <f>+A57+1</f>
        <v>56</v>
      </c>
      <c r="B58" s="216" t="s">
        <v>192</v>
      </c>
      <c r="C58" s="261">
        <f>C56+C57</f>
        <v>653029343.67499995</v>
      </c>
      <c r="D58" s="260">
        <f>D56+D57</f>
        <v>714585427</v>
      </c>
      <c r="E58" s="240">
        <f t="shared" si="4"/>
        <v>61556083.325000048</v>
      </c>
    </row>
    <row r="60" spans="1:5" x14ac:dyDescent="0.2">
      <c r="B60" t="s">
        <v>217</v>
      </c>
    </row>
  </sheetData>
  <mergeCells count="1">
    <mergeCell ref="A1:E1"/>
  </mergeCells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F8F5D-3F6F-46A6-86A6-4B554552172B}">
  <sheetPr>
    <pageSetUpPr fitToPage="1"/>
  </sheetPr>
  <dimension ref="A1:G94"/>
  <sheetViews>
    <sheetView tabSelected="1" topLeftCell="A2" zoomScale="82" zoomScaleNormal="82" workbookViewId="0">
      <pane xSplit="1" ySplit="7" topLeftCell="B18" activePane="bottomRight" state="frozen"/>
      <selection activeCell="A2" sqref="A2"/>
      <selection pane="topRight" activeCell="C2" sqref="C2"/>
      <selection pane="bottomLeft" activeCell="A8" sqref="A8"/>
      <selection pane="bottomRight" activeCell="G43" sqref="G43"/>
    </sheetView>
  </sheetViews>
  <sheetFormatPr baseColWidth="10" defaultColWidth="9.1640625" defaultRowHeight="13" x14ac:dyDescent="0.15"/>
  <cols>
    <col min="1" max="1" width="42" style="2" customWidth="1"/>
    <col min="2" max="2" width="15.33203125" style="2" customWidth="1"/>
    <col min="3" max="3" width="16.33203125" style="2" customWidth="1"/>
    <col min="4" max="6" width="14.6640625" style="2" customWidth="1"/>
    <col min="7" max="7" width="92" style="15" customWidth="1"/>
    <col min="8" max="16384" width="9.1640625" style="1"/>
  </cols>
  <sheetData>
    <row r="1" spans="1:7" ht="23" x14ac:dyDescent="0.25">
      <c r="A1" s="53"/>
      <c r="B1" s="53"/>
      <c r="C1" s="108"/>
      <c r="D1" s="300"/>
      <c r="E1" s="300"/>
      <c r="F1" s="300"/>
      <c r="G1" s="48"/>
    </row>
    <row r="2" spans="1:7" ht="28.5" customHeight="1" x14ac:dyDescent="0.25">
      <c r="A2" s="53"/>
      <c r="B2" s="110"/>
      <c r="C2" s="110"/>
      <c r="D2" s="109"/>
      <c r="E2" s="109"/>
      <c r="F2" s="109"/>
      <c r="G2" s="48"/>
    </row>
    <row r="3" spans="1:7" ht="31.5" customHeight="1" thickBot="1" x14ac:dyDescent="0.25">
      <c r="A3" s="52"/>
      <c r="B3" s="311" t="s">
        <v>218</v>
      </c>
      <c r="C3" s="312"/>
      <c r="D3" s="312"/>
      <c r="E3" s="312"/>
      <c r="F3" s="312"/>
      <c r="G3" s="48"/>
    </row>
    <row r="4" spans="1:7" ht="43.5" customHeight="1" x14ac:dyDescent="0.15">
      <c r="A4" s="51"/>
      <c r="B4" s="50" t="s">
        <v>122</v>
      </c>
      <c r="C4" s="14" t="s">
        <v>121</v>
      </c>
      <c r="D4" s="49" t="s">
        <v>120</v>
      </c>
      <c r="E4" s="54" t="s">
        <v>119</v>
      </c>
      <c r="F4" s="275" t="s">
        <v>119</v>
      </c>
      <c r="G4" s="48"/>
    </row>
    <row r="5" spans="1:7" ht="15" thickBot="1" x14ac:dyDescent="0.2">
      <c r="A5" s="47"/>
      <c r="B5" s="45" t="s">
        <v>118</v>
      </c>
      <c r="C5" s="46" t="s">
        <v>118</v>
      </c>
      <c r="D5" s="45" t="s">
        <v>118</v>
      </c>
      <c r="E5" s="55" t="s">
        <v>117</v>
      </c>
      <c r="F5" s="276" t="s">
        <v>195</v>
      </c>
      <c r="G5" s="44"/>
    </row>
    <row r="6" spans="1:7" ht="1.5" customHeight="1" x14ac:dyDescent="0.15">
      <c r="A6" s="9"/>
      <c r="B6" s="12"/>
      <c r="C6" s="10"/>
      <c r="D6" s="25"/>
      <c r="E6" s="56"/>
      <c r="F6" s="277"/>
    </row>
    <row r="7" spans="1:7" ht="14" hidden="1" x14ac:dyDescent="0.15">
      <c r="A7" s="37" t="s">
        <v>116</v>
      </c>
      <c r="B7" s="37"/>
      <c r="C7" s="11"/>
      <c r="D7" s="25">
        <v>0</v>
      </c>
      <c r="E7" s="56"/>
      <c r="F7" s="277"/>
    </row>
    <row r="8" spans="1:7" ht="9" hidden="1" customHeight="1" x14ac:dyDescent="0.15">
      <c r="A8" s="12"/>
      <c r="B8" s="12"/>
      <c r="C8" s="10"/>
      <c r="D8" s="25"/>
      <c r="E8" s="56"/>
      <c r="F8" s="277"/>
    </row>
    <row r="9" spans="1:7" ht="14" x14ac:dyDescent="0.15">
      <c r="A9" s="37" t="s">
        <v>73</v>
      </c>
      <c r="B9" s="34">
        <f>'[2]FY19 As Passed'!B8</f>
        <v>31360732</v>
      </c>
      <c r="C9" s="2">
        <v>33150701</v>
      </c>
      <c r="D9" s="25">
        <f>'[3]FY21 Gov Restated'!B8</f>
        <v>34345533</v>
      </c>
      <c r="E9" s="56">
        <f>'[3]FY22 GOVREC All Funds'!B8</f>
        <v>35973988</v>
      </c>
      <c r="F9" s="277">
        <f>'FY22 Transportation Budget'!E7</f>
        <v>35973988</v>
      </c>
    </row>
    <row r="10" spans="1:7" ht="1.5" customHeight="1" x14ac:dyDescent="0.15">
      <c r="A10" s="43"/>
      <c r="B10" s="34">
        <f>'[2]FY19 As Passed'!B9</f>
        <v>0</v>
      </c>
      <c r="C10" s="42"/>
      <c r="D10" s="25"/>
      <c r="E10" s="56">
        <f>'[3]FY22 GOVREC All Funds'!B9</f>
        <v>0</v>
      </c>
      <c r="F10" s="277"/>
    </row>
    <row r="11" spans="1:7" ht="14" x14ac:dyDescent="0.15">
      <c r="A11" s="37" t="s">
        <v>71</v>
      </c>
      <c r="B11" s="34">
        <f>'[2]FY19 As Passed'!B10</f>
        <v>14655914</v>
      </c>
      <c r="C11" s="2">
        <v>15497069</v>
      </c>
      <c r="D11" s="25">
        <f>'[3]FY21 Gov Restated'!B10</f>
        <v>15979760</v>
      </c>
      <c r="E11" s="56">
        <f>'[3]FY22 GOVREC All Funds'!B10</f>
        <v>16211983</v>
      </c>
      <c r="F11" s="277">
        <f>'FY22 Transportation Budget'!E9</f>
        <v>16211983</v>
      </c>
    </row>
    <row r="12" spans="1:7" ht="1.5" customHeight="1" x14ac:dyDescent="0.15">
      <c r="A12" s="12"/>
      <c r="B12" s="34">
        <f>'[2]FY19 As Passed'!B11</f>
        <v>0</v>
      </c>
      <c r="D12" s="25"/>
      <c r="E12" s="56">
        <f>'[3]FY22 GOVREC All Funds'!B11</f>
        <v>0</v>
      </c>
      <c r="F12" s="277"/>
    </row>
    <row r="13" spans="1:7" ht="14" x14ac:dyDescent="0.15">
      <c r="A13" s="37" t="s">
        <v>69</v>
      </c>
      <c r="B13" s="34"/>
      <c r="D13" s="25"/>
      <c r="E13" s="56"/>
      <c r="F13" s="277"/>
    </row>
    <row r="14" spans="1:7" ht="14" x14ac:dyDescent="0.15">
      <c r="A14" s="12" t="s">
        <v>115</v>
      </c>
      <c r="B14" s="34">
        <f>'[2]FY19 As Passed'!B13</f>
        <v>104199583</v>
      </c>
      <c r="C14" s="2">
        <v>100682429</v>
      </c>
      <c r="D14" s="25">
        <f>'[3]FY21 Gov Restated'!B13</f>
        <v>105755261</v>
      </c>
      <c r="E14" s="56">
        <f>'[3]FY22 GOVREC All Funds'!B13</f>
        <v>120459399</v>
      </c>
      <c r="F14" s="277">
        <f>'FY22 Transportation Budget'!E12</f>
        <v>120459399</v>
      </c>
    </row>
    <row r="15" spans="1:7" ht="14" x14ac:dyDescent="0.15">
      <c r="A15" s="12" t="s">
        <v>104</v>
      </c>
      <c r="B15" s="34">
        <f>'[2]FY19 As Passed'!B14</f>
        <v>24543000</v>
      </c>
      <c r="C15" s="2">
        <v>30831313</v>
      </c>
      <c r="D15" s="25">
        <f>'[3]FY21 Gov Restated'!B14</f>
        <v>22653892</v>
      </c>
      <c r="E15" s="56">
        <f>'[3]FY22 GOVREC All Funds'!B14</f>
        <v>22595374</v>
      </c>
      <c r="F15" s="277">
        <f>'FY22 Transportation Budget'!E13</f>
        <v>22595374</v>
      </c>
    </row>
    <row r="16" spans="1:7" ht="14" x14ac:dyDescent="0.15">
      <c r="A16" s="12" t="s">
        <v>66</v>
      </c>
      <c r="B16" s="34">
        <f>'[2]FY19 As Passed'!B15</f>
        <v>57636326</v>
      </c>
      <c r="C16" s="2">
        <v>54100006</v>
      </c>
      <c r="D16" s="25">
        <f>'[3]FY21 Gov Restated'!B15</f>
        <v>67955839</v>
      </c>
      <c r="E16" s="56">
        <f>'[3]FY22 GOVREC All Funds'!B15</f>
        <v>49767020</v>
      </c>
      <c r="F16" s="277">
        <f>'FY22 Transportation Budget'!E14</f>
        <v>49252858</v>
      </c>
      <c r="G16" s="1" t="s">
        <v>136</v>
      </c>
    </row>
    <row r="17" spans="1:7" ht="14" x14ac:dyDescent="0.15">
      <c r="A17" s="12" t="s">
        <v>114</v>
      </c>
      <c r="B17" s="34">
        <f>'[2]FY19 As Passed'!B16</f>
        <v>51972218</v>
      </c>
      <c r="C17" s="2">
        <v>48779614</v>
      </c>
      <c r="D17" s="25">
        <f>'[3]FY21 Gov Restated'!B16</f>
        <v>42111213</v>
      </c>
      <c r="E17" s="56">
        <f>'[3]FY22 GOVREC All Funds'!B16</f>
        <v>37334563</v>
      </c>
      <c r="F17" s="277">
        <f>'FY22 Transportation Budget'!E15</f>
        <v>37334563</v>
      </c>
    </row>
    <row r="18" spans="1:7" ht="14" x14ac:dyDescent="0.15">
      <c r="A18" s="12" t="s">
        <v>64</v>
      </c>
      <c r="B18" s="34">
        <f>'[2]FY19 As Passed'!B17</f>
        <v>21515547</v>
      </c>
      <c r="C18" s="2">
        <v>20925379</v>
      </c>
      <c r="D18" s="25">
        <f>'[3]FY21 Gov Restated'!B17</f>
        <v>34568991</v>
      </c>
      <c r="E18" s="56">
        <f>'[3]FY22 GOVREC All Funds'!B17</f>
        <v>33343610</v>
      </c>
      <c r="F18" s="277">
        <f>'FY22 Transportation Budget'!E16</f>
        <v>33343610</v>
      </c>
    </row>
    <row r="19" spans="1:7" ht="14" x14ac:dyDescent="0.15">
      <c r="A19" s="12" t="s">
        <v>63</v>
      </c>
      <c r="B19" s="34">
        <f>'[2]FY19 As Passed'!B18</f>
        <v>3807556</v>
      </c>
      <c r="C19" s="2">
        <v>2651588</v>
      </c>
      <c r="D19" s="25">
        <f>'[3]FY21 Gov Restated'!B18</f>
        <v>5580568</v>
      </c>
      <c r="E19" s="56">
        <f>'[3]FY22 GOVREC All Funds'!B18</f>
        <v>5220233</v>
      </c>
      <c r="F19" s="277">
        <f>'FY22 Transportation Budget'!E17</f>
        <v>5220233</v>
      </c>
    </row>
    <row r="20" spans="1:7" ht="14" x14ac:dyDescent="0.15">
      <c r="A20" s="12" t="s">
        <v>62</v>
      </c>
      <c r="B20" s="34">
        <f>'[2]FY19 As Passed'!B19</f>
        <v>10866048</v>
      </c>
      <c r="C20" s="2">
        <v>13040923</v>
      </c>
      <c r="D20" s="25">
        <f>'[3]FY21 Gov Restated'!B19</f>
        <v>17000970</v>
      </c>
      <c r="E20" s="56">
        <f>'[3]FY22 GOVREC All Funds'!B19</f>
        <v>16789554</v>
      </c>
      <c r="F20" s="277">
        <f>'FY22 Transportation Budget'!E18</f>
        <v>16789554</v>
      </c>
    </row>
    <row r="21" spans="1:7" ht="14" x14ac:dyDescent="0.15">
      <c r="A21" s="12" t="s">
        <v>61</v>
      </c>
      <c r="B21" s="34">
        <f>'[2]FY19 As Passed'!B20</f>
        <v>3600875</v>
      </c>
      <c r="C21" s="2">
        <v>3268618</v>
      </c>
      <c r="D21" s="25">
        <f>'[3]FY21 Gov Restated'!B20</f>
        <v>2763408</v>
      </c>
      <c r="E21" s="56">
        <f>'[3]FY22 GOVREC All Funds'!B20</f>
        <v>4454294</v>
      </c>
      <c r="F21" s="277">
        <f>'FY22 Transportation Budget'!E19</f>
        <v>4454294</v>
      </c>
    </row>
    <row r="22" spans="1:7" ht="14" x14ac:dyDescent="0.15">
      <c r="A22" s="12" t="s">
        <v>60</v>
      </c>
      <c r="B22" s="34">
        <f>'[2]FY19 As Passed'!B21</f>
        <v>0</v>
      </c>
      <c r="C22" s="2">
        <v>0</v>
      </c>
      <c r="D22" s="25">
        <f>'[3]FY21 Gov Restated'!B21</f>
        <v>0</v>
      </c>
      <c r="E22" s="56">
        <f>'[3]FY22 GOVREC All Funds'!B21</f>
        <v>0</v>
      </c>
      <c r="F22" s="277">
        <f>'FY22 Transportation Budget'!E20</f>
        <v>0</v>
      </c>
    </row>
    <row r="23" spans="1:7" ht="14" x14ac:dyDescent="0.15">
      <c r="A23" s="13" t="s">
        <v>113</v>
      </c>
      <c r="B23" s="40">
        <f>'[2]FY19 As Passed'!B22</f>
        <v>22748320</v>
      </c>
      <c r="C23" s="41">
        <v>24117481</v>
      </c>
      <c r="D23" s="40">
        <f>'[3]FY21 Gov Restated'!B22</f>
        <v>24385131</v>
      </c>
      <c r="E23" s="57">
        <f>'[3]FY22 GOVREC All Funds'!B22</f>
        <v>25084554</v>
      </c>
      <c r="F23" s="270">
        <f>'FY22 Transportation Budget'!E21</f>
        <v>25084554</v>
      </c>
    </row>
    <row r="24" spans="1:7" ht="1.5" customHeight="1" x14ac:dyDescent="0.15">
      <c r="A24" s="12"/>
      <c r="B24" s="25"/>
      <c r="D24" s="25"/>
      <c r="E24" s="56">
        <f>'[3]FY22 GOVREC All Funds'!B23</f>
        <v>0</v>
      </c>
      <c r="F24" s="277"/>
    </row>
    <row r="25" spans="1:7" ht="14" x14ac:dyDescent="0.15">
      <c r="A25" s="12" t="s">
        <v>112</v>
      </c>
      <c r="B25" s="34">
        <f>SUM(B14:B23)</f>
        <v>300889473</v>
      </c>
      <c r="C25" s="2">
        <f>SUM(C14:C23)</f>
        <v>298397351</v>
      </c>
      <c r="D25" s="25">
        <f>'[3]FY21 Gov Restated'!B24</f>
        <v>322775273</v>
      </c>
      <c r="E25" s="56">
        <f>'[3]FY22 GOVREC All Funds'!B24</f>
        <v>315048601</v>
      </c>
      <c r="F25" s="277">
        <f>'FY22 Transportation Budget'!E23</f>
        <v>314534439</v>
      </c>
    </row>
    <row r="26" spans="1:7" ht="7.5" customHeight="1" x14ac:dyDescent="0.15">
      <c r="A26" s="12"/>
      <c r="B26" s="34"/>
      <c r="D26" s="25"/>
      <c r="E26" s="56"/>
      <c r="F26" s="277"/>
    </row>
    <row r="27" spans="1:7" ht="14" x14ac:dyDescent="0.15">
      <c r="A27" s="37" t="s">
        <v>57</v>
      </c>
      <c r="B27" s="34"/>
      <c r="C27" s="2">
        <v>0</v>
      </c>
      <c r="D27" s="25">
        <f>'[3]FY21 Gov Restated'!B26</f>
        <v>1557438</v>
      </c>
      <c r="E27" s="56">
        <f>'[3]FY22 GOVREC All Funds'!B26</f>
        <v>0</v>
      </c>
      <c r="F27" s="277">
        <v>0</v>
      </c>
    </row>
    <row r="28" spans="1:7" ht="3.75" customHeight="1" x14ac:dyDescent="0.15">
      <c r="A28" s="30"/>
      <c r="B28" s="34"/>
      <c r="D28" s="25">
        <f>'[3]FY21 Gov Restated'!B29</f>
        <v>0</v>
      </c>
      <c r="E28" s="56">
        <f>'[3]FY22 GOVREC All Funds'!B27</f>
        <v>0</v>
      </c>
      <c r="F28" s="277"/>
    </row>
    <row r="29" spans="1:7" ht="25.5" customHeight="1" x14ac:dyDescent="0.15">
      <c r="A29" s="37" t="s">
        <v>56</v>
      </c>
      <c r="B29" s="34"/>
      <c r="C29" s="2">
        <v>0</v>
      </c>
      <c r="D29" s="25">
        <f>'[3]FY21 Gov Restated'!B28</f>
        <v>11400000</v>
      </c>
      <c r="E29" s="56">
        <f>'[3]FY22 GOVREC All Funds'!B28</f>
        <v>5000000</v>
      </c>
      <c r="F29" s="278">
        <f>'FY22 Transportation Budget'!E93+'FY22 Transportation Budget'!F93+'FY22 Transportation Budget'!G93</f>
        <v>38825000</v>
      </c>
      <c r="G29" s="15" t="s">
        <v>215</v>
      </c>
    </row>
    <row r="30" spans="1:7" ht="11.25" customHeight="1" x14ac:dyDescent="0.15">
      <c r="A30" s="30"/>
      <c r="B30" s="34"/>
      <c r="D30" s="25"/>
      <c r="E30" s="56"/>
      <c r="F30" s="277"/>
      <c r="G30" s="274"/>
    </row>
    <row r="31" spans="1:7" ht="14" x14ac:dyDescent="0.15">
      <c r="A31" s="37" t="s">
        <v>54</v>
      </c>
      <c r="B31" s="34">
        <f>'[2]FY19 As Passed'!B30</f>
        <v>744802</v>
      </c>
      <c r="C31" s="2">
        <v>679706</v>
      </c>
      <c r="D31" s="25">
        <f>'[3]FY21 Gov Restated'!B30</f>
        <v>1010000</v>
      </c>
      <c r="E31" s="56">
        <f>'[3]FY22 GOVREC All Funds'!B30</f>
        <v>1460000</v>
      </c>
      <c r="F31" s="277">
        <f>'FY22 Transportation Budget'!E26</f>
        <v>1460000</v>
      </c>
    </row>
    <row r="32" spans="1:7" ht="1.5" customHeight="1" x14ac:dyDescent="0.15">
      <c r="A32" s="30"/>
      <c r="B32" s="34">
        <f>'[2]FY19 As Passed'!B31</f>
        <v>0</v>
      </c>
      <c r="D32" s="25">
        <f>'[3]FY21 Gov Restated'!B31</f>
        <v>0</v>
      </c>
      <c r="E32" s="56">
        <f>'[3]FY22 GOVREC All Funds'!B31</f>
        <v>0</v>
      </c>
      <c r="F32" s="277"/>
    </row>
    <row r="33" spans="1:6" ht="14" x14ac:dyDescent="0.15">
      <c r="A33" s="37" t="s">
        <v>52</v>
      </c>
      <c r="B33" s="34">
        <f>'[2]FY19 As Passed'!B32</f>
        <v>11086484</v>
      </c>
      <c r="C33" s="2">
        <v>11192221</v>
      </c>
      <c r="D33" s="25">
        <f>'[3]FY21 Gov Restated'!B32</f>
        <v>11551005</v>
      </c>
      <c r="E33" s="56">
        <f>'[3]FY22 GOVREC All Funds'!B32</f>
        <v>11458898</v>
      </c>
      <c r="F33" s="277">
        <f>'FY22 Transportation Budget'!E28</f>
        <v>11458898</v>
      </c>
    </row>
    <row r="34" spans="1:6" ht="1.5" customHeight="1" x14ac:dyDescent="0.15">
      <c r="A34" s="12"/>
      <c r="B34" s="34">
        <f>'[2]FY19 As Passed'!B33</f>
        <v>0</v>
      </c>
      <c r="D34" s="25">
        <f>'[3]FY21 Gov Restated'!B33</f>
        <v>0</v>
      </c>
      <c r="E34" s="56">
        <f>'[3]FY22 GOVREC All Funds'!B33</f>
        <v>0</v>
      </c>
      <c r="F34" s="277"/>
    </row>
    <row r="35" spans="1:6" ht="14" x14ac:dyDescent="0.15">
      <c r="A35" s="37" t="s">
        <v>50</v>
      </c>
      <c r="B35" s="34">
        <f>'[2]FY19 As Passed'!B34</f>
        <v>87896279</v>
      </c>
      <c r="C35" s="2">
        <v>94013939</v>
      </c>
      <c r="D35" s="25">
        <f>'[3]FY21 Gov Restated'!B34</f>
        <v>99836436</v>
      </c>
      <c r="E35" s="56">
        <f>'[3]FY22 GOVREC All Funds'!B34</f>
        <v>103519499</v>
      </c>
      <c r="F35" s="277">
        <f>'FY22 Transportation Budget'!E30</f>
        <v>103519499</v>
      </c>
    </row>
    <row r="36" spans="1:6" ht="1.5" customHeight="1" x14ac:dyDescent="0.15">
      <c r="A36" s="30"/>
      <c r="B36" s="34">
        <f>'[2]FY19 As Passed'!B35</f>
        <v>0</v>
      </c>
      <c r="D36" s="25">
        <f>'[3]FY21 Gov Restated'!B35</f>
        <v>0</v>
      </c>
      <c r="E36" s="56">
        <f>'[3]FY22 GOVREC All Funds'!B35</f>
        <v>0</v>
      </c>
      <c r="F36" s="277"/>
    </row>
    <row r="37" spans="1:6" ht="14" x14ac:dyDescent="0.15">
      <c r="A37" s="37" t="s">
        <v>111</v>
      </c>
      <c r="B37" s="34">
        <f>'[2]FY19 As Passed'!B36</f>
        <v>29020229</v>
      </c>
      <c r="C37" s="2">
        <v>33824399</v>
      </c>
      <c r="D37" s="25">
        <f>'[3]FY21 Gov Restated'!B36</f>
        <v>38234820</v>
      </c>
      <c r="E37" s="56">
        <f>'[3]FY22 GOVREC All Funds'!B36</f>
        <v>42821522</v>
      </c>
      <c r="F37" s="277">
        <f>'FY22 Transportation Budget'!E32</f>
        <v>42821522</v>
      </c>
    </row>
    <row r="38" spans="1:6" ht="1.5" customHeight="1" x14ac:dyDescent="0.15">
      <c r="A38" s="34"/>
      <c r="B38" s="34">
        <f>'[2]FY19 As Passed'!B37</f>
        <v>0</v>
      </c>
      <c r="D38" s="25">
        <f>'[3]FY21 Gov Restated'!B37</f>
        <v>0</v>
      </c>
      <c r="E38" s="56">
        <f>'[3]FY22 GOVREC All Funds'!B37</f>
        <v>0</v>
      </c>
      <c r="F38" s="277">
        <f>'FY22 Transportation Budget'!E33</f>
        <v>0</v>
      </c>
    </row>
    <row r="39" spans="1:6" ht="14" customHeight="1" x14ac:dyDescent="0.15">
      <c r="A39" s="37" t="s">
        <v>46</v>
      </c>
      <c r="B39" s="34">
        <f>'[2]FY19 As Passed'!B38</f>
        <v>13799763</v>
      </c>
      <c r="C39" s="2">
        <v>9244636</v>
      </c>
      <c r="D39" s="25">
        <f>'[3]FY21 Gov Restated'!B38</f>
        <v>9555672</v>
      </c>
      <c r="E39" s="56">
        <f>'[3]FY22 GOVREC All Funds'!B38</f>
        <v>10451646</v>
      </c>
      <c r="F39" s="277">
        <f>'FY22 Transportation Budget'!E34</f>
        <v>10451646</v>
      </c>
    </row>
    <row r="40" spans="1:6" ht="1.5" customHeight="1" x14ac:dyDescent="0.15">
      <c r="A40" s="12"/>
      <c r="B40" s="34">
        <f>'[2]FY19 As Passed'!B39</f>
        <v>0</v>
      </c>
      <c r="D40" s="25">
        <f>'[3]FY21 Gov Restated'!B39</f>
        <v>0</v>
      </c>
      <c r="E40" s="56">
        <f>'[3]FY22 GOVREC All Funds'!B39</f>
        <v>0</v>
      </c>
      <c r="F40" s="277">
        <f>'FY22 Transportation Budget'!E35</f>
        <v>0</v>
      </c>
    </row>
    <row r="41" spans="1:6" ht="14" x14ac:dyDescent="0.15">
      <c r="A41" s="37" t="s">
        <v>110</v>
      </c>
      <c r="B41" s="34">
        <f>'[2]FY19 As Passed'!B40</f>
        <v>29599051</v>
      </c>
      <c r="C41" s="2">
        <v>34935351</v>
      </c>
      <c r="D41" s="25">
        <f>'[3]FY21 Gov Restated'!B40</f>
        <v>31494448</v>
      </c>
      <c r="E41" s="56">
        <f>'[3]FY22 GOVREC All Funds'!B40</f>
        <v>36380019</v>
      </c>
      <c r="F41" s="277">
        <f>'FY22 Transportation Budget'!E36</f>
        <v>36380019</v>
      </c>
    </row>
    <row r="42" spans="1:6" ht="1.5" customHeight="1" x14ac:dyDescent="0.15">
      <c r="A42" s="12"/>
      <c r="B42" s="34">
        <f>'[2]FY19 As Passed'!B41</f>
        <v>0</v>
      </c>
      <c r="D42" s="25">
        <f>'[3]FY21 Gov Restated'!B41</f>
        <v>0</v>
      </c>
      <c r="E42" s="56">
        <f>'[3]FY22 GOVREC All Funds'!B41</f>
        <v>0</v>
      </c>
      <c r="F42" s="277">
        <f>'FY22 Transportation Budget'!E37</f>
        <v>0</v>
      </c>
    </row>
    <row r="43" spans="1:6" ht="15" customHeight="1" x14ac:dyDescent="0.15">
      <c r="A43" s="37" t="s">
        <v>41</v>
      </c>
      <c r="B43" s="34">
        <f>'[2]FY19 As Passed'!B42</f>
        <v>20684524</v>
      </c>
      <c r="C43" s="2">
        <v>20112038</v>
      </c>
      <c r="D43" s="25">
        <f>'[3]FY21 Gov Restated'!B42</f>
        <v>20982875</v>
      </c>
      <c r="E43" s="56">
        <f>'[3]FY22 GOVREC All Funds'!B42</f>
        <v>22202720</v>
      </c>
      <c r="F43" s="277">
        <f>'FY22 Transportation Budget'!E38</f>
        <v>22202720</v>
      </c>
    </row>
    <row r="44" spans="1:6" ht="1.5" customHeight="1" x14ac:dyDescent="0.15">
      <c r="A44" s="30"/>
      <c r="B44" s="34">
        <f>'[2]FY19 As Passed'!B43</f>
        <v>0</v>
      </c>
      <c r="D44" s="25">
        <f>'[3]FY21 Gov Restated'!B43</f>
        <v>0</v>
      </c>
      <c r="E44" s="56">
        <f>'[3]FY22 GOVREC All Funds'!B43</f>
        <v>0</v>
      </c>
      <c r="F44" s="277">
        <f>'FY22 Transportation Budget'!E39</f>
        <v>0</v>
      </c>
    </row>
    <row r="45" spans="1:6" ht="15" thickBot="1" x14ac:dyDescent="0.2">
      <c r="A45" s="37" t="s">
        <v>109</v>
      </c>
      <c r="B45" s="34">
        <f>'[2]FY19 As Passed'!B44</f>
        <v>1578050</v>
      </c>
      <c r="C45" s="23">
        <v>907746</v>
      </c>
      <c r="D45" s="25">
        <f>'[3]FY21 Gov Restated'!B44</f>
        <v>307000</v>
      </c>
      <c r="E45" s="56">
        <f>'[3]FY22 GOVREC All Funds'!B44</f>
        <v>850000</v>
      </c>
      <c r="F45" s="277">
        <f>'FY22 Transportation Budget'!E40</f>
        <v>850000</v>
      </c>
    </row>
    <row r="46" spans="1:6" ht="1.5" customHeight="1" x14ac:dyDescent="0.15">
      <c r="A46" s="30"/>
      <c r="B46" s="39"/>
      <c r="C46" s="3"/>
      <c r="D46" s="27"/>
      <c r="E46" s="58"/>
      <c r="F46" s="279"/>
    </row>
    <row r="47" spans="1:6" ht="15" thickBot="1" x14ac:dyDescent="0.2">
      <c r="A47" s="12" t="s">
        <v>38</v>
      </c>
      <c r="B47" s="38">
        <f>SUM(B25:B45)+B9+B11</f>
        <v>541315301</v>
      </c>
      <c r="C47" s="23">
        <f>SUM(C25:C45)+C9+C11</f>
        <v>551955157</v>
      </c>
      <c r="D47" s="23">
        <f>+D11+D9+D25+D39+D35+D41+D43+D31+D45+D37+D33+D7+D27+D29</f>
        <v>599030260</v>
      </c>
      <c r="E47" s="56">
        <f>SUM(E25:E45)+E11+E9</f>
        <v>601378876</v>
      </c>
      <c r="F47" s="271">
        <f>SUM(F25:F45)+F11+F9</f>
        <v>634689714</v>
      </c>
    </row>
    <row r="48" spans="1:6" ht="1.5" customHeight="1" x14ac:dyDescent="0.15">
      <c r="A48" s="12"/>
      <c r="B48" s="34"/>
      <c r="D48" s="27"/>
      <c r="E48" s="58"/>
      <c r="F48" s="277"/>
    </row>
    <row r="49" spans="1:7" ht="14" x14ac:dyDescent="0.15">
      <c r="A49" s="37" t="s">
        <v>36</v>
      </c>
      <c r="B49" s="34">
        <f>'[2]FY19 As Passed'!B48</f>
        <v>13324994</v>
      </c>
      <c r="C49" s="2">
        <v>13833851</v>
      </c>
      <c r="D49" s="25">
        <f>'[3]FY21 Gov Restated'!B48</f>
        <v>13073351</v>
      </c>
      <c r="E49" s="56">
        <f>'[3]FY22 GOVREC All Funds'!B48</f>
        <v>14894232</v>
      </c>
      <c r="F49" s="277">
        <f>'FY22 Transportation Budget'!E44</f>
        <v>15408394</v>
      </c>
      <c r="G49" s="1" t="s">
        <v>136</v>
      </c>
    </row>
    <row r="50" spans="1:7" s="15" customFormat="1" ht="1.5" customHeight="1" x14ac:dyDescent="0.15">
      <c r="A50" s="37"/>
      <c r="B50" s="34">
        <f>'[2]FY19 As Passed'!B49</f>
        <v>0</v>
      </c>
      <c r="C50" s="2"/>
      <c r="D50" s="25">
        <f>'[3]FY21 Gov Restated'!B49</f>
        <v>0</v>
      </c>
      <c r="E50" s="56">
        <f>'[3]FY22 GOVREC All Funds'!B49</f>
        <v>0</v>
      </c>
      <c r="F50" s="277">
        <f>'FY22 Transportation Budget'!E45</f>
        <v>0</v>
      </c>
    </row>
    <row r="51" spans="1:7" s="15" customFormat="1" ht="14" x14ac:dyDescent="0.15">
      <c r="A51" s="37" t="s">
        <v>34</v>
      </c>
      <c r="B51" s="34">
        <f>'[2]FY19 As Passed'!B50</f>
        <v>6333500</v>
      </c>
      <c r="C51" s="2">
        <v>6333500</v>
      </c>
      <c r="D51" s="25">
        <f>'[3]FY21 Gov Restated'!B50</f>
        <v>4650000</v>
      </c>
      <c r="E51" s="56">
        <f>'[3]FY22 GOVREC All Funds'!B50</f>
        <v>12667000</v>
      </c>
      <c r="F51" s="277">
        <f>'FY22 Transportation Budget'!E46</f>
        <v>12667000</v>
      </c>
    </row>
    <row r="52" spans="1:7" s="15" customFormat="1" ht="1.5" customHeight="1" x14ac:dyDescent="0.15">
      <c r="A52" s="37"/>
      <c r="B52" s="34">
        <f>'[2]FY19 As Passed'!B51</f>
        <v>0</v>
      </c>
      <c r="C52" s="2"/>
      <c r="D52" s="25">
        <f>'[3]FY21 Gov Restated'!B51</f>
        <v>0</v>
      </c>
      <c r="E52" s="56">
        <f>'[3]FY22 GOVREC All Funds'!B51</f>
        <v>0</v>
      </c>
      <c r="F52" s="277">
        <f>'FY22 Transportation Budget'!E47</f>
        <v>0</v>
      </c>
    </row>
    <row r="53" spans="1:7" s="15" customFormat="1" ht="14" x14ac:dyDescent="0.15">
      <c r="A53" s="37" t="s">
        <v>32</v>
      </c>
      <c r="B53" s="34">
        <f>'[2]FY19 As Passed'!B52</f>
        <v>7648750</v>
      </c>
      <c r="C53" s="2">
        <v>7648750</v>
      </c>
      <c r="D53" s="25">
        <f>'[3]FY21 Gov Restated'!B52</f>
        <v>3250000</v>
      </c>
      <c r="E53" s="56">
        <f>'[3]FY22 GOVREC All Funds'!B52</f>
        <v>15297500</v>
      </c>
      <c r="F53" s="277">
        <f>'FY22 Transportation Budget'!E48</f>
        <v>15297500</v>
      </c>
    </row>
    <row r="54" spans="1:7" s="15" customFormat="1" ht="1.5" customHeight="1" x14ac:dyDescent="0.15">
      <c r="A54" s="37"/>
      <c r="B54" s="34">
        <f>'[2]FY19 As Passed'!B53</f>
        <v>0</v>
      </c>
      <c r="C54" s="2"/>
      <c r="D54" s="25">
        <f>'[3]FY21 Gov Restated'!B53</f>
        <v>0</v>
      </c>
      <c r="E54" s="56">
        <f>'[3]FY22 GOVREC All Funds'!B53</f>
        <v>0</v>
      </c>
      <c r="F54" s="277">
        <f>'FY22 Transportation Budget'!E49</f>
        <v>0</v>
      </c>
    </row>
    <row r="55" spans="1:7" s="15" customFormat="1" ht="14" x14ac:dyDescent="0.15">
      <c r="A55" s="37" t="s">
        <v>30</v>
      </c>
      <c r="B55" s="34">
        <f>'[2]FY19 As Passed'!B54</f>
        <v>1150000</v>
      </c>
      <c r="C55" s="2">
        <v>1150000</v>
      </c>
      <c r="D55" s="25">
        <f>'[3]FY21 Gov Restated'!B54</f>
        <v>1150000</v>
      </c>
      <c r="E55" s="56">
        <f>'[3]FY22 GOVREC All Funds'!B54</f>
        <v>1150000</v>
      </c>
      <c r="F55" s="277">
        <f>'FY22 Transportation Budget'!E50</f>
        <v>1150000</v>
      </c>
    </row>
    <row r="56" spans="1:7" s="15" customFormat="1" ht="1.5" customHeight="1" x14ac:dyDescent="0.15">
      <c r="A56" s="37"/>
      <c r="B56" s="34">
        <f>'[2]FY19 As Passed'!B55</f>
        <v>0</v>
      </c>
      <c r="C56" s="2"/>
      <c r="D56" s="25">
        <f>'[3]FY21 Gov Restated'!B55</f>
        <v>0</v>
      </c>
      <c r="E56" s="56">
        <f>'[3]FY22 GOVREC All Funds'!B55</f>
        <v>0</v>
      </c>
      <c r="F56" s="277">
        <f>'FY22 Transportation Budget'!E51</f>
        <v>0</v>
      </c>
    </row>
    <row r="57" spans="1:7" s="15" customFormat="1" ht="14" x14ac:dyDescent="0.15">
      <c r="A57" s="37" t="s">
        <v>28</v>
      </c>
      <c r="B57" s="34">
        <f>'[2]FY19 As Passed'!B56</f>
        <v>180000</v>
      </c>
      <c r="C57" s="2">
        <v>180000</v>
      </c>
      <c r="D57" s="25">
        <f>'[3]FY21 Gov Restated'!B56</f>
        <v>180000</v>
      </c>
      <c r="E57" s="56">
        <f>'[3]FY22 GOVREC All Funds'!B56</f>
        <v>180000</v>
      </c>
      <c r="F57" s="277">
        <f>'FY22 Transportation Budget'!E52</f>
        <v>180000</v>
      </c>
    </row>
    <row r="58" spans="1:7" s="15" customFormat="1" ht="1.5" customHeight="1" x14ac:dyDescent="0.15">
      <c r="A58" s="37"/>
      <c r="B58" s="34">
        <f>'[2]FY19 As Passed'!B57</f>
        <v>0</v>
      </c>
      <c r="C58" s="2"/>
      <c r="D58" s="25">
        <f>'[3]FY21 Gov Restated'!B57</f>
        <v>0</v>
      </c>
      <c r="E58" s="56">
        <f>'[3]FY22 GOVREC All Funds'!B57</f>
        <v>0</v>
      </c>
      <c r="F58" s="277">
        <f>'FY22 Transportation Budget'!E53</f>
        <v>0</v>
      </c>
    </row>
    <row r="59" spans="1:7" s="15" customFormat="1" ht="14" x14ac:dyDescent="0.15">
      <c r="A59" s="37" t="s">
        <v>26</v>
      </c>
      <c r="B59" s="34">
        <f>'[2]FY19 As Passed'!B58</f>
        <v>25982744</v>
      </c>
      <c r="C59" s="2">
        <v>26663161</v>
      </c>
      <c r="D59" s="25">
        <f>'[3]FY21 Gov Restated'!B58</f>
        <v>27105769</v>
      </c>
      <c r="E59" s="56">
        <f>'[3]FY22 GOVREC All Funds'!B58</f>
        <v>27105769</v>
      </c>
      <c r="F59" s="277">
        <f>'FY22 Transportation Budget'!E54</f>
        <v>27105769</v>
      </c>
      <c r="G59" s="15" t="s">
        <v>219</v>
      </c>
    </row>
    <row r="60" spans="1:7" s="15" customFormat="1" ht="1.5" customHeight="1" x14ac:dyDescent="0.15">
      <c r="A60" s="37"/>
      <c r="B60" s="34">
        <f>'[2]FY19 As Passed'!B59</f>
        <v>0</v>
      </c>
      <c r="C60" s="2"/>
      <c r="D60" s="25">
        <f>'[3]FY21 Gov Restated'!B59</f>
        <v>0</v>
      </c>
      <c r="E60" s="56">
        <f>'[3]FY22 GOVREC All Funds'!B59</f>
        <v>0</v>
      </c>
      <c r="F60" s="277">
        <f>'FY22 Transportation Budget'!E55</f>
        <v>0</v>
      </c>
    </row>
    <row r="61" spans="1:7" s="15" customFormat="1" ht="14" x14ac:dyDescent="0.15">
      <c r="A61" s="37" t="s">
        <v>24</v>
      </c>
      <c r="B61" s="34">
        <f>'[2]FY19 As Passed'!B60</f>
        <v>128750</v>
      </c>
      <c r="C61" s="2">
        <v>128750</v>
      </c>
      <c r="D61" s="25">
        <f>'[3]FY21 Gov Restated'!B60</f>
        <v>128750</v>
      </c>
      <c r="E61" s="56">
        <f>'[3]FY22 GOVREC All Funds'!B60</f>
        <v>128750</v>
      </c>
      <c r="F61" s="277">
        <f>'FY22 Transportation Budget'!E56</f>
        <v>128750</v>
      </c>
    </row>
    <row r="62" spans="1:7" s="15" customFormat="1" ht="1.5" customHeight="1" x14ac:dyDescent="0.15">
      <c r="A62" s="37"/>
      <c r="B62" s="34">
        <f>'[2]FY19 As Passed'!B61</f>
        <v>0</v>
      </c>
      <c r="C62" s="2"/>
      <c r="D62" s="25">
        <f>'[3]FY21 Gov Restated'!B61</f>
        <v>0</v>
      </c>
      <c r="E62" s="56">
        <f>'[3]FY22 GOVREC All Funds'!B61</f>
        <v>0</v>
      </c>
      <c r="F62" s="277">
        <f>'FY22 Transportation Budget'!E57</f>
        <v>0</v>
      </c>
    </row>
    <row r="63" spans="1:7" s="15" customFormat="1" ht="14" x14ac:dyDescent="0.15">
      <c r="A63" s="37" t="s">
        <v>22</v>
      </c>
      <c r="B63" s="34">
        <f>'[2]FY19 As Passed'!B62</f>
        <v>403714</v>
      </c>
      <c r="C63" s="2">
        <v>406307</v>
      </c>
      <c r="D63" s="25">
        <f>'[3]FY21 Gov Restated'!B62</f>
        <v>408964.67499999999</v>
      </c>
      <c r="E63" s="56">
        <f>'[3]FY22 GOVREC All Funds'!B62</f>
        <v>411689</v>
      </c>
      <c r="F63" s="277">
        <f>'FY22 Transportation Budget'!E58</f>
        <v>411689</v>
      </c>
    </row>
    <row r="64" spans="1:7" s="15" customFormat="1" ht="1.5" customHeight="1" x14ac:dyDescent="0.15">
      <c r="A64" s="37"/>
      <c r="B64" s="34">
        <f>'[2]FY19 As Passed'!B63</f>
        <v>0</v>
      </c>
      <c r="C64" s="2"/>
      <c r="D64" s="25">
        <f>'[3]FY21 Gov Restated'!B63</f>
        <v>0</v>
      </c>
      <c r="E64" s="56">
        <f>'[3]FY22 GOVREC All Funds'!B63</f>
        <v>0</v>
      </c>
      <c r="F64" s="277">
        <f>'FY22 Transportation Budget'!E59</f>
        <v>0</v>
      </c>
    </row>
    <row r="65" spans="1:7" s="15" customFormat="1" ht="14" x14ac:dyDescent="0.15">
      <c r="A65" s="37" t="s">
        <v>20</v>
      </c>
      <c r="B65" s="34">
        <f>'[2]FY19 As Passed'!B64</f>
        <v>9082342</v>
      </c>
      <c r="C65" s="2">
        <v>3098000</v>
      </c>
      <c r="D65" s="25">
        <f>'[3]FY21 Gov Restated'!B64</f>
        <v>6055000</v>
      </c>
      <c r="E65" s="56">
        <f>'[3]FY22 GOVREC All Funds'!B64</f>
        <v>6110000</v>
      </c>
      <c r="F65" s="277">
        <f>'FY22 Transportation Budget'!E60</f>
        <v>6110000</v>
      </c>
    </row>
    <row r="66" spans="1:7" ht="1.5" customHeight="1" x14ac:dyDescent="0.15">
      <c r="A66" s="37"/>
      <c r="B66" s="34">
        <f>'[2]FY19 As Passed'!B65</f>
        <v>0</v>
      </c>
      <c r="D66" s="25">
        <f>'[3]FY21 Gov Restated'!B65</f>
        <v>0</v>
      </c>
      <c r="E66" s="56">
        <f>'[3]FY22 GOVREC All Funds'!B65</f>
        <v>0</v>
      </c>
      <c r="F66" s="277">
        <f>'FY22 Transportation Budget'!E61</f>
        <v>0</v>
      </c>
    </row>
    <row r="67" spans="1:7" ht="15" thickBot="1" x14ac:dyDescent="0.2">
      <c r="A67" s="37" t="s">
        <v>18</v>
      </c>
      <c r="B67" s="38">
        <f>'[2]FY19 As Passed'!B66</f>
        <v>5059457</v>
      </c>
      <c r="C67" s="23">
        <v>4140000</v>
      </c>
      <c r="D67" s="23">
        <f>'[3]FY21 Gov Restated'!B66</f>
        <v>1250000</v>
      </c>
      <c r="E67" s="59">
        <f>'[3]FY22 GOVREC All Funds'!B66</f>
        <v>1250000</v>
      </c>
      <c r="F67" s="271">
        <f>'FY22 Transportation Budget'!E62</f>
        <v>1250000</v>
      </c>
    </row>
    <row r="68" spans="1:7" ht="1.5" customHeight="1" x14ac:dyDescent="0.15">
      <c r="A68" s="30"/>
      <c r="B68" s="34">
        <f>'[2]FY19 As Passed'!B67</f>
        <v>0</v>
      </c>
      <c r="D68" s="25"/>
      <c r="E68" s="56"/>
      <c r="F68" s="277"/>
    </row>
    <row r="69" spans="1:7" ht="23.25" customHeight="1" thickBot="1" x14ac:dyDescent="0.2">
      <c r="A69" s="12" t="s">
        <v>108</v>
      </c>
      <c r="B69" s="38">
        <f>SUM(B49:B67)</f>
        <v>69294251</v>
      </c>
      <c r="C69" s="23">
        <f>SUM(C49:C67)</f>
        <v>63582319</v>
      </c>
      <c r="D69" s="23">
        <f>SUM(D49:D67)</f>
        <v>57251834.674999997</v>
      </c>
      <c r="E69" s="59">
        <f>SUM(E49:E67)</f>
        <v>79194940</v>
      </c>
      <c r="F69" s="271">
        <f>'FY22 Transportation Budget'!E64</f>
        <v>79709102</v>
      </c>
    </row>
    <row r="70" spans="1:7" ht="3.75" customHeight="1" x14ac:dyDescent="0.15">
      <c r="A70" s="12"/>
      <c r="B70" s="34"/>
      <c r="D70" s="25"/>
      <c r="E70" s="56"/>
      <c r="F70" s="277"/>
    </row>
    <row r="71" spans="1:7" ht="14.25" customHeight="1" x14ac:dyDescent="0.15">
      <c r="A71" s="37" t="s">
        <v>15</v>
      </c>
      <c r="B71" s="34">
        <f>'[2]FY19 As Passed'!B70</f>
        <v>271543</v>
      </c>
      <c r="C71" s="2">
        <v>282191</v>
      </c>
      <c r="D71" s="25">
        <f>'[3]FY21 Gov Restated'!B70</f>
        <v>184774</v>
      </c>
      <c r="E71" s="56">
        <f>'[3]FY22 GOVREC All Funds'!B70</f>
        <v>186611</v>
      </c>
      <c r="F71" s="277">
        <f>'FY22 Transportation Budget'!E66</f>
        <v>186611</v>
      </c>
    </row>
    <row r="72" spans="1:7" ht="6" customHeight="1" thickBot="1" x14ac:dyDescent="0.2">
      <c r="A72" s="37"/>
      <c r="B72" s="36"/>
      <c r="C72" s="35"/>
      <c r="D72" s="25"/>
      <c r="E72" s="56"/>
      <c r="F72" s="271"/>
    </row>
    <row r="73" spans="1:7" ht="3.75" customHeight="1" x14ac:dyDescent="0.15">
      <c r="A73" s="12"/>
      <c r="B73" s="34"/>
      <c r="D73" s="27"/>
      <c r="E73" s="58"/>
      <c r="F73" s="280"/>
    </row>
    <row r="74" spans="1:7" ht="21.75" customHeight="1" thickBot="1" x14ac:dyDescent="0.2">
      <c r="A74" s="33" t="s">
        <v>107</v>
      </c>
      <c r="B74" s="32">
        <f>SUM(B69+B71+B47)</f>
        <v>610881095</v>
      </c>
      <c r="C74" s="32">
        <f>SUM(C69+C71+C47)</f>
        <v>615819667</v>
      </c>
      <c r="D74" s="31">
        <f>D71+D69+D47</f>
        <v>656466868.67499995</v>
      </c>
      <c r="E74" s="81">
        <f>E71+E69+E47</f>
        <v>680760427</v>
      </c>
      <c r="F74" s="281">
        <f>F71+F69+F47</f>
        <v>714585427</v>
      </c>
    </row>
    <row r="75" spans="1:7" ht="12.75" customHeight="1" x14ac:dyDescent="0.15">
      <c r="A75" s="5"/>
      <c r="B75" s="114"/>
      <c r="C75" s="115"/>
      <c r="D75" s="3"/>
      <c r="E75" s="3"/>
      <c r="F75" s="3"/>
      <c r="G75" s="29"/>
    </row>
    <row r="76" spans="1:7" ht="16.5" customHeight="1" x14ac:dyDescent="0.15">
      <c r="A76" s="28" t="s">
        <v>214</v>
      </c>
      <c r="B76" s="5"/>
      <c r="C76" s="5"/>
      <c r="D76" s="3"/>
      <c r="E76" s="3"/>
      <c r="F76" s="3"/>
    </row>
    <row r="77" spans="1:7" ht="16.5" customHeight="1" x14ac:dyDescent="0.15">
      <c r="A77" s="5"/>
      <c r="B77" s="5"/>
      <c r="C77" s="5"/>
      <c r="D77" s="3"/>
      <c r="E77" s="3"/>
      <c r="F77" s="97"/>
    </row>
    <row r="78" spans="1:7" ht="16.5" hidden="1" customHeight="1" x14ac:dyDescent="0.15">
      <c r="A78" s="8"/>
      <c r="B78" s="8"/>
      <c r="C78" s="8"/>
      <c r="D78" s="3"/>
      <c r="E78" s="3"/>
      <c r="F78" s="3"/>
    </row>
    <row r="79" spans="1:7" ht="16.5" hidden="1" customHeight="1" x14ac:dyDescent="0.15">
      <c r="A79" s="8" t="s">
        <v>105</v>
      </c>
      <c r="B79" s="8"/>
      <c r="C79" s="8"/>
      <c r="D79" s="3"/>
      <c r="E79" s="3"/>
      <c r="F79" s="3"/>
    </row>
    <row r="80" spans="1:7" ht="16.5" hidden="1" customHeight="1" x14ac:dyDescent="0.15">
      <c r="A80" s="6" t="s">
        <v>66</v>
      </c>
      <c r="B80" s="6"/>
      <c r="C80" s="6"/>
      <c r="D80" s="27">
        <f>D16</f>
        <v>67955839</v>
      </c>
      <c r="E80" s="26"/>
      <c r="F80" s="26"/>
    </row>
    <row r="81" spans="1:7" ht="16.5" hidden="1" customHeight="1" x14ac:dyDescent="0.15">
      <c r="A81" s="6" t="s">
        <v>104</v>
      </c>
      <c r="B81" s="6"/>
      <c r="C81" s="6"/>
      <c r="D81" s="25">
        <f>D15</f>
        <v>22653892</v>
      </c>
      <c r="E81" s="24"/>
      <c r="F81" s="24"/>
    </row>
    <row r="82" spans="1:7" ht="16.5" hidden="1" customHeight="1" x14ac:dyDescent="0.15">
      <c r="A82" s="6" t="s">
        <v>103</v>
      </c>
      <c r="B82" s="6"/>
      <c r="C82" s="6"/>
      <c r="D82" s="23">
        <f>D49</f>
        <v>13073351</v>
      </c>
      <c r="E82" s="22"/>
      <c r="F82" s="22"/>
    </row>
    <row r="83" spans="1:7" ht="16.5" hidden="1" customHeight="1" x14ac:dyDescent="0.15">
      <c r="A83" s="6" t="s">
        <v>102</v>
      </c>
      <c r="B83" s="6"/>
      <c r="C83" s="6"/>
      <c r="D83" s="21">
        <f>SUM(D80:D82)</f>
        <v>103683082</v>
      </c>
      <c r="E83" s="20"/>
      <c r="F83" s="20"/>
    </row>
    <row r="84" spans="1:7" s="16" customFormat="1" ht="16.5" customHeight="1" x14ac:dyDescent="0.15">
      <c r="A84" s="19" t="s">
        <v>101</v>
      </c>
      <c r="B84" s="18"/>
      <c r="C84" s="18"/>
      <c r="D84" s="2" t="s">
        <v>100</v>
      </c>
      <c r="E84" s="2" t="s">
        <v>123</v>
      </c>
      <c r="F84" s="2"/>
      <c r="G84" s="15"/>
    </row>
    <row r="85" spans="1:7" s="16" customFormat="1" ht="16.5" customHeight="1" x14ac:dyDescent="0.15">
      <c r="A85" s="2"/>
      <c r="B85" s="2"/>
      <c r="C85" s="2"/>
      <c r="D85" s="2"/>
      <c r="E85" s="2"/>
      <c r="F85" s="2"/>
      <c r="G85" s="15"/>
    </row>
    <row r="86" spans="1:7" s="16" customFormat="1" ht="16.5" customHeight="1" x14ac:dyDescent="0.15">
      <c r="A86" s="2" t="s">
        <v>99</v>
      </c>
      <c r="B86" s="2"/>
      <c r="C86" s="2"/>
      <c r="D86" s="2">
        <v>900000</v>
      </c>
      <c r="E86" s="2"/>
      <c r="F86" s="2"/>
      <c r="G86" s="15"/>
    </row>
    <row r="87" spans="1:7" s="16" customFormat="1" ht="16.5" customHeight="1" x14ac:dyDescent="0.15">
      <c r="A87" s="2" t="s">
        <v>98</v>
      </c>
      <c r="B87" s="2"/>
      <c r="C87" s="2"/>
      <c r="D87" s="2">
        <v>1005358</v>
      </c>
      <c r="E87" s="2"/>
      <c r="F87" s="2"/>
      <c r="G87" s="15"/>
    </row>
    <row r="88" spans="1:7" x14ac:dyDescent="0.15">
      <c r="A88" s="2" t="s">
        <v>216</v>
      </c>
      <c r="E88" s="282">
        <v>1500000</v>
      </c>
      <c r="F88" s="17"/>
    </row>
    <row r="89" spans="1:7" x14ac:dyDescent="0.15">
      <c r="A89" s="2" t="s">
        <v>97</v>
      </c>
      <c r="D89" s="2">
        <v>523966</v>
      </c>
      <c r="E89" s="2">
        <v>4023966</v>
      </c>
    </row>
    <row r="90" spans="1:7" x14ac:dyDescent="0.15">
      <c r="A90" s="2" t="s">
        <v>96</v>
      </c>
      <c r="D90" s="2">
        <v>2505863</v>
      </c>
      <c r="E90" s="2">
        <v>2502363</v>
      </c>
    </row>
    <row r="91" spans="1:7" x14ac:dyDescent="0.15">
      <c r="A91" s="2" t="s">
        <v>95</v>
      </c>
      <c r="D91" s="2">
        <v>2830000</v>
      </c>
    </row>
    <row r="92" spans="1:7" x14ac:dyDescent="0.15">
      <c r="A92" s="2" t="s">
        <v>95</v>
      </c>
      <c r="D92" s="2">
        <v>750000</v>
      </c>
    </row>
    <row r="94" spans="1:7" s="16" customFormat="1" ht="4.5" customHeight="1" x14ac:dyDescent="0.15">
      <c r="A94" s="2"/>
      <c r="B94" s="2"/>
      <c r="C94" s="2"/>
      <c r="D94" s="2"/>
      <c r="E94" s="2"/>
      <c r="F94" s="2"/>
      <c r="G94" s="15"/>
    </row>
  </sheetData>
  <mergeCells count="2">
    <mergeCell ref="D1:F1"/>
    <mergeCell ref="B3:F3"/>
  </mergeCells>
  <printOptions horizontalCentered="1" verticalCentered="1" headings="1" gridLines="1"/>
  <pageMargins left="0.31" right="0.16" top="0.25" bottom="0.21" header="0.17" footer="0.19"/>
  <pageSetup scale="51" orientation="landscape" r:id="rId1"/>
  <ignoredErrors>
    <ignoredError sqref="F33 F3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FY22 Transportation Budget</vt:lpstr>
      <vt:lpstr>Summary</vt:lpstr>
      <vt:lpstr>FY22 VS. PRIOR YRS</vt:lpstr>
      <vt:lpstr>'FY22 Transportation Budget'!Print_Area</vt:lpstr>
    </vt:vector>
  </TitlesOfParts>
  <Company>Vermont General Assembly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Rupe</dc:creator>
  <cp:lastModifiedBy>Diane Lanpher</cp:lastModifiedBy>
  <cp:lastPrinted>2021-04-29T14:44:37Z</cp:lastPrinted>
  <dcterms:created xsi:type="dcterms:W3CDTF">2021-03-09T16:34:08Z</dcterms:created>
  <dcterms:modified xsi:type="dcterms:W3CDTF">2021-06-14T19:18:55Z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